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<sst xmlns="http://schemas.openxmlformats.org/spreadsheetml/2006/main" uniqueCount="365">
  <si>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</si>
  <si>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</si>
  <si>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</si>
  <si>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</si>
  <si>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</si>
  <si>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</si>
  <si>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</si>
  <si>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</si>
  <si>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</si>
  <si>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</si>
  <si>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</si>
  <si>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</si>
  <si>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</si>
  <si>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</si>
  <si>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</si>
  <si>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</si>
  <si>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</si>
  <si>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</si>
  <si>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</si>
  <si>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</si>
  <si>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</si>
  <si>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</si>
  <si>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</si>
  <si>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</si>
  <si>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</si>
  <si>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</si>
  <si>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</si>
  <si>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</si>
  <si>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</si>
  <si>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</si>
  <si>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</si>
  <si>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</si>
  <si>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</si>
  <si>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</si>
  <si>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</si>
  <si>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</si>
  <si>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</si>
  <si>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</si>
  <si>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</si>
  <si>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</si>
  <si>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</si>
  <si>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</si>
  <si>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</si>
  <si>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</si>
  <si>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</si>
  <si>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</si>
  <si>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</si>
  <si>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</si>
  <si>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</si>
  <si>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</si>
  <si>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</si>
  <si>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</si>
  <si>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</si>
  <si>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</si>
  <si>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</si>
  <si>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</si>
  <si>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</si>
  <si>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</si>
  <si>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</si>
  <si>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</si>
  <si>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</si>
  <si>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</si>
  <si>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</si>
  <si>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</si>
  <si>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</si>
  <si>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</si>
  <si>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</si>
  <si>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</si>
  <si>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</si>
  <si>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</si>
  <si>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</si>
  <si>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</si>
  <si>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</si>
  <si>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</si>
  <si>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</si>
  <si>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</si>
  <si>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</si>
  <si>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</si>
  <si>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</si>
  <si>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</si>
  <si>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</si>
  <si>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</si>
  <si>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</si>
  <si>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</si>
  <si>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</si>
  <si>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</si>
  <si>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</si>
  <si>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</si>
  <si>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</si>
  <si>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</si>
  <si>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</si>
  <si>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Inorganic fertizers</t>
  </si>
  <si>
    <t>Yes</t>
  </si>
  <si>
    <t>No</t>
  </si>
  <si>
    <t>February</t>
  </si>
  <si>
    <t>Carrots</t>
  </si>
  <si>
    <t>Other crops</t>
  </si>
  <si>
    <t>Shop_common variety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</si>
  <si>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</si>
  <si>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</si>
  <si>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</si>
  <si>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</si>
  <si>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</si>
  <si>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</si>
  <si>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</si>
  <si>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</si>
  <si>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</si>
  <si>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</si>
  <si>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</si>
  <si>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</si>
  <si>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</si>
  <si>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</si>
  <si>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</si>
  <si>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</si>
  <si>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</si>
  <si>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</si>
  <si>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</si>
  <si>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</si>
  <si>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</si>
  <si>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</si>
  <si>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</si>
  <si>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</si>
  <si>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</si>
  <si>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</si>
  <si>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</si>
  <si>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</si>
  <si>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</si>
  <si>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</si>
  <si>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</si>
  <si>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</si>
  <si>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</si>
  <si>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</si>
  <si>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</si>
  <si>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</si>
  <si>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</si>
  <si>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</si>
  <si>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</si>
  <si>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</si>
  <si>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</si>
  <si>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</si>
  <si>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</si>
  <si>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</si>
  <si>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</si>
  <si>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</si>
  <si>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</si>
  <si>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</si>
  <si>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</si>
  <si>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</si>
  <si>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</si>
  <si>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</si>
  <si>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</si>
  <si>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</si>
  <si>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</si>
  <si>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</si>
  <si>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</si>
  <si>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</si>
  <si>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</si>
  <si>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</si>
  <si>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2017/10/11</t>
  </si>
  <si>
    <t>Loan terms</t>
  </si>
  <si>
    <t>Expected disbursement date</t>
  </si>
  <si>
    <t>Expected first repayment date</t>
  </si>
  <si>
    <t>2017/11/11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</si>
  <si>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</si>
  <si>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</si>
  <si>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</si>
  <si>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</si>
  <si>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</si>
  <si>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</si>
  <si>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</si>
  <si>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</si>
  <si>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</si>
  <si>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</si>
  <si>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</si>
  <si>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</si>
  <si>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</si>
  <si>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</si>
  <si>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</si>
  <si>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</si>
  <si>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</si>
  <si>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</si>
  <si>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</si>
  <si>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</si>
  <si>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</si>
  <si>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</si>
  <si>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</si>
  <si>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</si>
  <si>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</si>
  <si>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</si>
  <si>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</si>
  <si>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</si>
  <si>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</si>
  <si>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</si>
  <si>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</si>
  <si>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</si>
  <si>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</si>
  <si>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</si>
  <si>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</si>
  <si>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</si>
  <si>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</si>
  <si>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</si>
  <si>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</si>
  <si>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</si>
  <si>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</si>
  <si>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</si>
  <si>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</si>
  <si>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</si>
  <si>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</si>
  <si>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</si>
  <si>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</si>
  <si>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</si>
  <si>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</si>
  <si>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</si>
  <si>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</si>
  <si>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</si>
  <si>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</si>
  <si>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</si>
  <si>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</si>
  <si>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</si>
  <si>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</si>
  <si>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</si>
  <si>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</si>
  <si>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</si>
  <si>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</si>
  <si>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</si>
  <si>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</si>
  <si>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</si>
  <si>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</si>
  <si>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</si>
  <si>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</si>
  <si>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</si>
  <si>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</si>
  <si>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</si>
  <si>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</si>
  <si>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</si>
  <si>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</si>
  <si>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</si>
  <si>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</si>
  <si>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</si>
  <si>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</si>
  <si>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</si>
  <si>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</si>
  <si>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</si>
  <si>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</si>
  <si>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</si>
  <si>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</si>
  <si>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</si>
  <si>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</si>
  <si>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</si>
  <si>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</si>
  <si>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</si>
  <si>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</si>
  <si>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</si>
  <si>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</si>
  <si>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</si>
  <si>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</si>
  <si>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</si>
  <si>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</si>
  <si>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</si>
  <si>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</si>
  <si>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</si>
  <si>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</si>
  <si>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</si>
  <si>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</si>
  <si>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</si>
  <si>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</si>
  <si>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</si>
  <si>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</si>
  <si>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</si>
  <si>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</si>
  <si>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</si>
  <si>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</si>
  <si>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</si>
  <si>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</si>
  <si>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</si>
  <si>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</si>
  <si>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</si>
  <si>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</si>
  <si>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</si>
  <si>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</si>
  <si>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</si>
  <si>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</si>
  <si>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</si>
  <si>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</si>
  <si>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</si>
  <si>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</si>
  <si>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</si>
  <si>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</si>
  <si>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</si>
  <si>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</si>
  <si>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</si>
  <si>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</si>
  <si>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</si>
  <si>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</si>
  <si>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</si>
  <si>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</si>
  <si>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</si>
  <si>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</si>
  <si>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</si>
  <si>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</si>
  <si>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</si>
  <si>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</si>
  <si>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</si>
  <si>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</si>
  <si>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</si>
  <si>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</si>
  <si>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</si>
  <si>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</si>
  <si>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</si>
  <si>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</si>
  <si>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</si>
  <si>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</si>
  <si>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</si>
  <si>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</si>
  <si>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</si>
  <si>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</si>
  <si>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</si>
  <si>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</si>
  <si>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</si>
  <si>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</si>
  <si>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</si>
  <si>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</si>
  <si>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</si>
  <si>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</si>
  <si>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</si>
  <si>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</si>
  <si>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</si>
  <si>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</si>
  <si>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</si>
  <si>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</si>
  <si>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</si>
  <si>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</si>
  <si>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</si>
  <si>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</si>
  <si>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</si>
  <si>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</si>
  <si>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</si>
  <si>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</si>
  <si>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</si>
  <si>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</si>
  <si>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</si>
  <si>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</si>
  <si>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</si>
  <si>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</si>
  <si>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</si>
  <si>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</si>
  <si>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</si>
  <si>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</si>
  <si>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</si>
  <si>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</si>
  <si>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</si>
  <si>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</si>
  <si>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</si>
  <si>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</si>
  <si>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</si>
  <si>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</si>
  <si>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</si>
  <si>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Yes both manure and inorganic</t>
  </si>
  <si>
    <t>Yes without the use of a pump</t>
  </si>
  <si>
    <t>Shop_certified variety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</si>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</sst>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December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Carrots,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0.1982877592874417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0.006628398711439291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25000</v>
      </c>
    </row>
    <row r="17" spans="1:7">
      <c r="B17" s="1" t="s">
        <v>11</v>
      </c>
      <c r="C17" s="36">
        <f>SUM(Output!B6:M6)</f>
        <v>1454907.266365041</v>
      </c>
    </row>
    <row r="18" spans="1:7">
      <c r="B18" s="1" t="s">
        <v>12</v>
      </c>
      <c r="C18" s="36">
        <f>MIN(Output!B6:M6)</f>
        <v>-538454.5703536135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1751876.484950588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1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-191954.5703536134</v>
      </c>
      <c r="C6" s="51">
        <f>C30-C88</f>
        <v>-116054.5703536134</v>
      </c>
      <c r="D6" s="51">
        <f>D30-D88</f>
        <v>1751876.484950588</v>
      </c>
      <c r="E6" s="51">
        <f>E30-E88</f>
        <v>-61904.57035361344</v>
      </c>
      <c r="F6" s="51">
        <f>F30-F88</f>
        <v>-538454.5703536135</v>
      </c>
      <c r="G6" s="51">
        <f>G30-G88</f>
        <v>-116054.5703536134</v>
      </c>
      <c r="H6" s="51">
        <f>H30-H88</f>
        <v>-191954.5703536134</v>
      </c>
      <c r="I6" s="51">
        <f>I30-I88</f>
        <v>-116054.5703536134</v>
      </c>
      <c r="J6" s="51">
        <f>J30-J88</f>
        <v>1751876.484950588</v>
      </c>
      <c r="K6" s="51">
        <f>K30-K88</f>
        <v>-61904.57035361344</v>
      </c>
      <c r="L6" s="51">
        <f>L30-L88</f>
        <v>-538454.5703536135</v>
      </c>
      <c r="M6" s="51">
        <f>M30-M88</f>
        <v>-116054.5703536134</v>
      </c>
      <c r="N6" s="51">
        <f>N30-N88</f>
        <v>-191954.5703536134</v>
      </c>
      <c r="O6" s="51">
        <f>O30-O88</f>
        <v>-116054.5703536134</v>
      </c>
      <c r="P6" s="51">
        <f>P30-P88</f>
        <v>1751876.484950588</v>
      </c>
      <c r="Q6" s="51">
        <f>Q30-Q88</f>
        <v>-61904.57035361344</v>
      </c>
      <c r="R6" s="51">
        <f>R30-R88</f>
        <v>-538454.5703536135</v>
      </c>
      <c r="S6" s="51">
        <f>S30-S88</f>
        <v>-116054.5703536134</v>
      </c>
      <c r="T6" s="51">
        <f>T30-T88</f>
        <v>-191954.5703536134</v>
      </c>
      <c r="U6" s="51">
        <f>U30-U88</f>
        <v>-116054.5703536134</v>
      </c>
      <c r="V6" s="51">
        <f>V30-V88</f>
        <v>1751876.484950588</v>
      </c>
      <c r="W6" s="51">
        <f>W30-W88</f>
        <v>-61904.57035361344</v>
      </c>
      <c r="X6" s="51">
        <f>X30-X88</f>
        <v>-538454.5703536135</v>
      </c>
      <c r="Y6" s="51">
        <f>Y30-Y88</f>
        <v>-116054.5703536134</v>
      </c>
      <c r="Z6" s="51">
        <f>SUMIF($B$13:$Y$13,"Yes",B6:Y6)</f>
        <v>1262952.696011428</v>
      </c>
      <c r="AA6" s="51">
        <f>AA30-AA88</f>
        <v>1454907.266365044</v>
      </c>
      <c r="AB6" s="51">
        <f>AB30-AB88</f>
        <v>2909814.532730088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7931</v>
      </c>
      <c r="I7" s="80">
        <f>IF(ISERROR(VLOOKUP(MONTH(I5),Inputs!$D$66:$D$71,1,0)),"",INDEX(Inputs!$B$66:$B$71,MATCH(MONTH(Output!I5),Inputs!$D$66:$D$71,0))-INDEX(Inputs!$C$66:$C$71,MATCH(MONTH(Output!I5),Inputs!$D$66:$D$71,0)))</f>
        <v>5631</v>
      </c>
      <c r="J7" s="80">
        <f>IF(ISERROR(VLOOKUP(MONTH(J5),Inputs!$D$66:$D$71,1,0)),"",INDEX(Inputs!$B$66:$B$71,MATCH(MONTH(Output!J5),Inputs!$D$66:$D$71,0))-INDEX(Inputs!$C$66:$C$71,MATCH(MONTH(Output!J5),Inputs!$D$66:$D$71,0)))</f>
        <v>12500</v>
      </c>
      <c r="K7" s="80">
        <f>IF(ISERROR(VLOOKUP(MONTH(K5),Inputs!$D$66:$D$71,1,0)),"",INDEX(Inputs!$B$66:$B$71,MATCH(MONTH(Output!K5),Inputs!$D$66:$D$71,0))-INDEX(Inputs!$C$66:$C$71,MATCH(MONTH(Output!K5),Inputs!$D$66:$D$71,0)))</f>
        <v>5142</v>
      </c>
      <c r="L7" s="80">
        <f>IF(ISERROR(VLOOKUP(MONTH(L5),Inputs!$D$66:$D$71,1,0)),"",INDEX(Inputs!$B$66:$B$71,MATCH(MONTH(Output!L5),Inputs!$D$66:$D$71,0))-INDEX(Inputs!$C$66:$C$71,MATCH(MONTH(Output!L5),Inputs!$D$66:$D$71,0)))</f>
        <v>4198</v>
      </c>
      <c r="M7" s="80">
        <f>IF(ISERROR(VLOOKUP(MONTH(M5),Inputs!$D$66:$D$71,1,0)),"",INDEX(Inputs!$B$66:$B$71,MATCH(MONTH(Output!M5),Inputs!$D$66:$D$71,0))-INDEX(Inputs!$C$66:$C$71,MATCH(MONTH(Output!M5),Inputs!$D$66:$D$71,0)))</f>
        <v>2050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7931</v>
      </c>
      <c r="U7" s="80">
        <f>IF(ISERROR(VLOOKUP(MONTH(U5),Inputs!$D$66:$D$71,1,0)),"",INDEX(Inputs!$B$66:$B$71,MATCH(MONTH(Output!U5),Inputs!$D$66:$D$71,0))-INDEX(Inputs!$C$66:$C$71,MATCH(MONTH(Output!U5),Inputs!$D$66:$D$71,0)))</f>
        <v>5631</v>
      </c>
      <c r="V7" s="80">
        <f>IF(ISERROR(VLOOKUP(MONTH(V5),Inputs!$D$66:$D$71,1,0)),"",INDEX(Inputs!$B$66:$B$71,MATCH(MONTH(Output!V5),Inputs!$D$66:$D$71,0))-INDEX(Inputs!$C$66:$C$71,MATCH(MONTH(Output!V5),Inputs!$D$66:$D$71,0)))</f>
        <v>12500</v>
      </c>
      <c r="W7" s="80">
        <f>IF(ISERROR(VLOOKUP(MONTH(W5),Inputs!$D$66:$D$71,1,0)),"",INDEX(Inputs!$B$66:$B$71,MATCH(MONTH(Output!W5),Inputs!$D$66:$D$71,0))-INDEX(Inputs!$C$66:$C$71,MATCH(MONTH(Output!W5),Inputs!$D$66:$D$71,0)))</f>
        <v>5142</v>
      </c>
      <c r="X7" s="80">
        <f>IF(ISERROR(VLOOKUP(MONTH(X5),Inputs!$D$66:$D$71,1,0)),"",INDEX(Inputs!$B$66:$B$71,MATCH(MONTH(Output!X5),Inputs!$D$66:$D$71,0))-INDEX(Inputs!$C$66:$C$71,MATCH(MONTH(Output!X5),Inputs!$D$66:$D$71,0)))</f>
        <v>4198</v>
      </c>
      <c r="Y7" s="80">
        <f>IF(ISERROR(VLOOKUP(MONTH(Y5),Inputs!$D$66:$D$71,1,0)),"",INDEX(Inputs!$B$66:$B$71,MATCH(MONTH(Output!Y5),Inputs!$D$66:$D$71,0))-INDEX(Inputs!$C$66:$C$71,MATCH(MONTH(Output!Y5),Inputs!$D$66:$D$71,0)))</f>
        <v>2050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25000</v>
      </c>
      <c r="D10" s="37">
        <f>SUMPRODUCT((Calculations!$D$33:$D$84=Output!D5)+0,Calculations!$C$33:$C$84)</f>
        <v>25000</v>
      </c>
      <c r="E10" s="37">
        <f>SUMPRODUCT((Calculations!$D$33:$D$84=Output!E5)+0,Calculations!$C$33:$C$84)</f>
        <v>25000</v>
      </c>
      <c r="F10" s="37">
        <f>SUMPRODUCT((Calculations!$D$33:$D$84=Output!F5)+0,Calculations!$C$33:$C$84)</f>
        <v>25000</v>
      </c>
      <c r="G10" s="37">
        <f>SUMPRODUCT((Calculations!$D$33:$D$84=Output!G5)+0,Calculations!$C$33:$C$84)</f>
        <v>25000</v>
      </c>
      <c r="H10" s="37">
        <f>SUMPRODUCT((Calculations!$D$33:$D$84=Output!H5)+0,Calculations!$C$33:$C$84)</f>
        <v>25000</v>
      </c>
      <c r="I10" s="37">
        <f>SUMPRODUCT((Calculations!$D$33:$D$84=Output!I5)+0,Calculations!$C$33:$C$84)</f>
        <v>25000</v>
      </c>
      <c r="J10" s="37">
        <f>SUMPRODUCT((Calculations!$D$33:$D$84=Output!J5)+0,Calculations!$C$33:$C$84)</f>
        <v>25000</v>
      </c>
      <c r="K10" s="37">
        <f>SUMPRODUCT((Calculations!$D$33:$D$84=Output!K5)+0,Calculations!$C$33:$C$84)</f>
        <v>25000</v>
      </c>
      <c r="L10" s="37">
        <f>SUMPRODUCT((Calculations!$D$33:$D$84=Output!L5)+0,Calculations!$C$33:$C$84)</f>
        <v>25000</v>
      </c>
      <c r="M10" s="37">
        <f>SUMPRODUCT((Calculations!$D$33:$D$84=Output!M5)+0,Calculations!$C$33:$C$84)</f>
        <v>25000</v>
      </c>
      <c r="N10" s="37">
        <f>SUMPRODUCT((Calculations!$D$33:$D$84=Output!N5)+0,Calculations!$C$33:$C$84)</f>
        <v>25000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300000</v>
      </c>
      <c r="AA10" s="37">
        <f>SUM(B10:M10)</f>
        <v>275000</v>
      </c>
      <c r="AB10" s="37">
        <f>SUM(B10:Y10)</f>
        <v>300000</v>
      </c>
    </row>
    <row r="11" spans="1:30" customHeight="1" ht="15.75">
      <c r="A11" s="43" t="s">
        <v>31</v>
      </c>
      <c r="B11" s="80">
        <f>B6+B9-B10</f>
        <v>58045.42964638656</v>
      </c>
      <c r="C11" s="80">
        <f>C6+C9-C10</f>
        <v>-141054.5703536134</v>
      </c>
      <c r="D11" s="80">
        <f>D6+D9-D10</f>
        <v>1726876.484950588</v>
      </c>
      <c r="E11" s="80">
        <f>E6+E9-E10</f>
        <v>-86904.57035361344</v>
      </c>
      <c r="F11" s="80">
        <f>F6+F9-F10</f>
        <v>-563454.5703536135</v>
      </c>
      <c r="G11" s="80">
        <f>G6+G9-G10</f>
        <v>-141054.5703536134</v>
      </c>
      <c r="H11" s="80">
        <f>H6+H9-H10</f>
        <v>-216954.5703536134</v>
      </c>
      <c r="I11" s="80">
        <f>I6+I9-I10</f>
        <v>-141054.5703536134</v>
      </c>
      <c r="J11" s="80">
        <f>J6+J9-J10</f>
        <v>1726876.484950588</v>
      </c>
      <c r="K11" s="80">
        <f>K6+K9-K10</f>
        <v>-86904.57035361344</v>
      </c>
      <c r="L11" s="80">
        <f>L6+L9-L10</f>
        <v>-563454.5703536135</v>
      </c>
      <c r="M11" s="80">
        <f>M6+M9-M10</f>
        <v>-141054.5703536134</v>
      </c>
      <c r="N11" s="80">
        <f>N6+N9-N10</f>
        <v>-216954.5703536134</v>
      </c>
      <c r="O11" s="80">
        <f>O6+O9-O10</f>
        <v>-116054.5703536134</v>
      </c>
      <c r="P11" s="80">
        <f>P6+P9-P10</f>
        <v>1751876.484950588</v>
      </c>
      <c r="Q11" s="80">
        <f>Q6+Q9-Q10</f>
        <v>-61904.57035361344</v>
      </c>
      <c r="R11" s="80">
        <f>R6+R9-R10</f>
        <v>-538454.5703536135</v>
      </c>
      <c r="S11" s="80">
        <f>S6+S9-S10</f>
        <v>-116054.5703536134</v>
      </c>
      <c r="T11" s="80">
        <f>T6+T9-T10</f>
        <v>-191954.5703536134</v>
      </c>
      <c r="U11" s="80">
        <f>U6+U9-U10</f>
        <v>-116054.5703536134</v>
      </c>
      <c r="V11" s="80">
        <f>V6+V9-V10</f>
        <v>1751876.484950588</v>
      </c>
      <c r="W11" s="80">
        <f>W6+W9-W10</f>
        <v>-61904.57035361344</v>
      </c>
      <c r="X11" s="80">
        <f>X6+X9-X10</f>
        <v>-538454.5703536135</v>
      </c>
      <c r="Y11" s="80">
        <f>Y6+Y9-Y10</f>
        <v>-116054.5703536134</v>
      </c>
      <c r="Z11" s="85">
        <f>SUMIF($B$13:$Y$13,"Yes",B11:Y11)</f>
        <v>1212952.696011428</v>
      </c>
      <c r="AA11" s="80">
        <f>SUM(B11:M11)</f>
        <v>1429907.266365041</v>
      </c>
      <c r="AB11" s="46">
        <f>SUM(B11:Y11)</f>
        <v>2859814.532730084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0.02951825015691217</v>
      </c>
      <c r="E12" s="82">
        <f>IF(E13="Yes",IF(SUM($B$10:E10)/(SUM($B$6:E6)+SUM($B$9:E9))&lt;0,999.99,SUM($B$10:E10)/(SUM($B$6:E6)+SUM($B$9:E9))),"")</f>
        <v>0.04595693063588646</v>
      </c>
      <c r="F12" s="82">
        <f>IF(F13="Yes",IF(SUM($B$10:F10)/(SUM($B$6:F6)+SUM($B$9:F9))&lt;0,999.99,SUM($B$10:F10)/(SUM($B$6:F6)+SUM($B$9:F9))),"")</f>
        <v>0.09144878810842462</v>
      </c>
      <c r="G12" s="82">
        <f>IF(G13="Yes",IF(SUM($B$10:G10)/(SUM($B$6:G6)+SUM($B$9:G9))&lt;0,999.99,SUM($B$10:G10)/(SUM($B$6:G6)+SUM($B$9:G9))),"")</f>
        <v>0.1278833038790891</v>
      </c>
      <c r="H12" s="82">
        <f>IF(H13="Yes",IF(SUM($B$10:H10)/(SUM($B$6:H6)+SUM($B$9:H9))&lt;0,999.99,SUM($B$10:H10)/(SUM($B$6:H6)+SUM($B$9:H9))),"")</f>
        <v>0.1909613990623845</v>
      </c>
      <c r="I12" s="82">
        <f>IF(I13="Yes",IF(SUM($B$10:I10)/(SUM($B$6:I6)+SUM($B$9:I9))&lt;0,999.99,SUM($B$10:I10)/(SUM($B$6:I6)+SUM($B$9:I9))),"")</f>
        <v>0.2614107696262188</v>
      </c>
      <c r="J12" s="82">
        <f>IF(J13="Yes",IF(SUM($B$10:J10)/(SUM($B$6:J6)+SUM($B$9:J9))&lt;0,999.99,SUM($B$10:J10)/(SUM($B$6:J6)+SUM($B$9:J9))),"")</f>
        <v>0.08259954044284579</v>
      </c>
      <c r="K12" s="82">
        <f>IF(K13="Yes",IF(SUM($B$10:K10)/(SUM($B$6:K6)+SUM($B$9:K9))&lt;0,999.99,SUM($B$10:K10)/(SUM($B$6:K6)+SUM($B$9:K9))),"")</f>
        <v>0.09536256479592595</v>
      </c>
      <c r="L12" s="82">
        <f>IF(L13="Yes",IF(SUM($B$10:L10)/(SUM($B$6:L6)+SUM($B$9:L9))&lt;0,999.99,SUM($B$10:L10)/(SUM($B$6:L6)+SUM($B$9:L9))),"")</f>
        <v>0.1372900820648148</v>
      </c>
      <c r="M12" s="82">
        <f>IF(M13="Yes",IF(SUM($B$10:M10)/(SUM($B$6:M6)+SUM($B$9:M9))&lt;0,999.99,SUM($B$10:M10)/(SUM($B$6:M6)+SUM($B$9:M9))),"")</f>
        <v>0.1612990955140425</v>
      </c>
      <c r="N12" s="82">
        <f>IF(N13="Yes",IF(SUM($B$10:N10)/(SUM($B$6:N6)+SUM($B$9:N9))&lt;0,999.99,SUM($B$10:N10)/(SUM($B$6:N6)+SUM($B$9:N9))),"")</f>
        <v>0.1982877592874417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779269.5161023752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779269.5161023752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779269.5161023752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779269.5161023752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1558539.03220475</v>
      </c>
      <c r="AA18" s="36">
        <f>SUM(B18:M18)</f>
        <v>1558539.03220475</v>
      </c>
      <c r="AB18" s="36">
        <f>SUM(B18:Y18)</f>
        <v>3117078.064409501</v>
      </c>
      <c r="AC18" s="43"/>
      <c r="AD18" s="43"/>
    </row>
    <row r="19" spans="1:30">
      <c r="A19" t="str">
        <f>IF(Calculations!A5&lt;&gt;Parameters!$A$18,IF(Calculations!A5=0,"",Calculations!A5),Inputs!B8)</f>
        <v>Carrots</v>
      </c>
      <c r="B19" s="36">
        <f>N19</f>
        <v>0</v>
      </c>
      <c r="C19" s="36">
        <f>O19</f>
        <v>0</v>
      </c>
      <c r="D19" s="36">
        <f>P19</f>
        <v>1088661.539201826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1088661.539201826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1088661.539201826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1088661.539201826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2177323.078403653</v>
      </c>
      <c r="AA19" s="36">
        <f>SUM(B19:M19)</f>
        <v>2177323.078403653</v>
      </c>
      <c r="AB19" s="36">
        <f>SUM(B19:Y19)</f>
        <v>4354646.156807305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107000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37500</v>
      </c>
      <c r="C24" s="36">
        <f>IFERROR(Calculations!$P14/12,"")</f>
        <v>37500</v>
      </c>
      <c r="D24" s="36">
        <f>IFERROR(Calculations!$P14/12,"")</f>
        <v>37500</v>
      </c>
      <c r="E24" s="36">
        <f>IFERROR(Calculations!$P14/12,"")</f>
        <v>37500</v>
      </c>
      <c r="F24" s="36">
        <f>IFERROR(Calculations!$P14/12,"")</f>
        <v>37500</v>
      </c>
      <c r="G24" s="36">
        <f>IFERROR(Calculations!$P14/12,"")</f>
        <v>37500</v>
      </c>
      <c r="H24" s="36">
        <f>IFERROR(Calculations!$P14/12,"")</f>
        <v>37500</v>
      </c>
      <c r="I24" s="36">
        <f>IFERROR(Calculations!$P14/12,"")</f>
        <v>37500</v>
      </c>
      <c r="J24" s="36">
        <f>IFERROR(Calculations!$P14/12,"")</f>
        <v>37500</v>
      </c>
      <c r="K24" s="36">
        <f>IFERROR(Calculations!$P14/12,"")</f>
        <v>37500</v>
      </c>
      <c r="L24" s="36">
        <f>IFERROR(Calculations!$P14/12,"")</f>
        <v>37500</v>
      </c>
      <c r="M24" s="36">
        <f>IFERROR(Calculations!$P14/12,"")</f>
        <v>37500</v>
      </c>
      <c r="N24" s="36">
        <f>IFERROR(Calculations!$P14/12,"")</f>
        <v>37500</v>
      </c>
      <c r="O24" s="36">
        <f>IFERROR(Calculations!$P14/12,"")</f>
        <v>37500</v>
      </c>
      <c r="P24" s="36">
        <f>IFERROR(Calculations!$P14/12,"")</f>
        <v>37500</v>
      </c>
      <c r="Q24" s="36">
        <f>IFERROR(Calculations!$P14/12,"")</f>
        <v>37500</v>
      </c>
      <c r="R24" s="36">
        <f>IFERROR(Calculations!$P14/12,"")</f>
        <v>37500</v>
      </c>
      <c r="S24" s="36">
        <f>IFERROR(Calculations!$P14/12,"")</f>
        <v>37500</v>
      </c>
      <c r="T24" s="36">
        <f>IFERROR(Calculations!$P14/12,"")</f>
        <v>37500</v>
      </c>
      <c r="U24" s="36">
        <f>IFERROR(Calculations!$P14/12,"")</f>
        <v>37500</v>
      </c>
      <c r="V24" s="36">
        <f>IFERROR(Calculations!$P14/12,"")</f>
        <v>37500</v>
      </c>
      <c r="W24" s="36">
        <f>IFERROR(Calculations!$P14/12,"")</f>
        <v>37500</v>
      </c>
      <c r="X24" s="36">
        <f>IFERROR(Calculations!$P14/12,"")</f>
        <v>37500</v>
      </c>
      <c r="Y24" s="36">
        <f>IFERROR(Calculations!$P14/12,"")</f>
        <v>37500</v>
      </c>
      <c r="Z24" s="36">
        <f>SUMIF($B$13:$Y$13,"Yes",B24:Y24)</f>
        <v>487500</v>
      </c>
      <c r="AA24" s="36">
        <f>SUM(B24:M24)</f>
        <v>450000</v>
      </c>
      <c r="AB24" s="46">
        <f>SUM(B24:Y24)</f>
        <v>900000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27152.77777777778</v>
      </c>
      <c r="C25" s="36">
        <f>IFERROR(Calculations!$P15/12,"")</f>
        <v>27152.77777777778</v>
      </c>
      <c r="D25" s="36">
        <f>IFERROR(Calculations!$P15/12,"")</f>
        <v>27152.77777777778</v>
      </c>
      <c r="E25" s="36">
        <f>IFERROR(Calculations!$P15/12,"")</f>
        <v>27152.77777777778</v>
      </c>
      <c r="F25" s="36">
        <f>IFERROR(Calculations!$P15/12,"")</f>
        <v>27152.77777777778</v>
      </c>
      <c r="G25" s="36">
        <f>IFERROR(Calculations!$P15/12,"")</f>
        <v>27152.77777777778</v>
      </c>
      <c r="H25" s="36">
        <f>IFERROR(Calculations!$P15/12,"")</f>
        <v>27152.77777777778</v>
      </c>
      <c r="I25" s="36">
        <f>IFERROR(Calculations!$P15/12,"")</f>
        <v>27152.77777777778</v>
      </c>
      <c r="J25" s="36">
        <f>IFERROR(Calculations!$P15/12,"")</f>
        <v>27152.77777777778</v>
      </c>
      <c r="K25" s="36">
        <f>IFERROR(Calculations!$P15/12,"")</f>
        <v>27152.77777777778</v>
      </c>
      <c r="L25" s="36">
        <f>IFERROR(Calculations!$P15/12,"")</f>
        <v>27152.77777777778</v>
      </c>
      <c r="M25" s="36">
        <f>IFERROR(Calculations!$P15/12,"")</f>
        <v>27152.77777777778</v>
      </c>
      <c r="N25" s="36">
        <f>IFERROR(Calculations!$P15/12,"")</f>
        <v>27152.77777777778</v>
      </c>
      <c r="O25" s="36">
        <f>IFERROR(Calculations!$P15/12,"")</f>
        <v>27152.77777777778</v>
      </c>
      <c r="P25" s="36">
        <f>IFERROR(Calculations!$P15/12,"")</f>
        <v>27152.77777777778</v>
      </c>
      <c r="Q25" s="36">
        <f>IFERROR(Calculations!$P15/12,"")</f>
        <v>27152.77777777778</v>
      </c>
      <c r="R25" s="36">
        <f>IFERROR(Calculations!$P15/12,"")</f>
        <v>27152.77777777778</v>
      </c>
      <c r="S25" s="36">
        <f>IFERROR(Calculations!$P15/12,"")</f>
        <v>27152.77777777778</v>
      </c>
      <c r="T25" s="36">
        <f>IFERROR(Calculations!$P15/12,"")</f>
        <v>27152.77777777778</v>
      </c>
      <c r="U25" s="36">
        <f>IFERROR(Calculations!$P15/12,"")</f>
        <v>27152.77777777778</v>
      </c>
      <c r="V25" s="36">
        <f>IFERROR(Calculations!$P15/12,"")</f>
        <v>27152.77777777778</v>
      </c>
      <c r="W25" s="36">
        <f>IFERROR(Calculations!$P15/12,"")</f>
        <v>27152.77777777778</v>
      </c>
      <c r="X25" s="36">
        <f>IFERROR(Calculations!$P15/12,"")</f>
        <v>27152.77777777778</v>
      </c>
      <c r="Y25" s="36">
        <f>IFERROR(Calculations!$P15/12,"")</f>
        <v>27152.77777777778</v>
      </c>
      <c r="Z25" s="36">
        <f>SUMIF($B$13:$Y$13,"Yes",B25:Y25)</f>
        <v>352986.111111111</v>
      </c>
      <c r="AA25" s="36">
        <f>SUM(B25:M25)</f>
        <v>325833.3333333333</v>
      </c>
      <c r="AB25" s="46">
        <f>SUM(B25:Y25)</f>
        <v>651666.6666666663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64652.77777777778</v>
      </c>
      <c r="C30" s="19">
        <f>SUM(C18:C29)</f>
        <v>64652.77777777778</v>
      </c>
      <c r="D30" s="19">
        <f>SUM(D18:D29)</f>
        <v>1932583.833081979</v>
      </c>
      <c r="E30" s="19">
        <f>SUM(E18:E29)</f>
        <v>64652.77777777778</v>
      </c>
      <c r="F30" s="19">
        <f>SUM(F18:F29)</f>
        <v>64652.77777777778</v>
      </c>
      <c r="G30" s="19">
        <f>SUM(G18:G29)</f>
        <v>64652.77777777778</v>
      </c>
      <c r="H30" s="19">
        <f>SUM(H18:H29)</f>
        <v>64652.77777777778</v>
      </c>
      <c r="I30" s="19">
        <f>SUM(I18:I29)</f>
        <v>64652.77777777778</v>
      </c>
      <c r="J30" s="19">
        <f>SUM(J18:J29)</f>
        <v>1932583.833081979</v>
      </c>
      <c r="K30" s="19">
        <f>SUM(K18:K29)</f>
        <v>64652.77777777778</v>
      </c>
      <c r="L30" s="19">
        <f>SUM(L18:L29)</f>
        <v>64652.77777777778</v>
      </c>
      <c r="M30" s="19">
        <f>SUM(M18:M29)</f>
        <v>64652.77777777778</v>
      </c>
      <c r="N30" s="19">
        <f>SUM(N18:N29)</f>
        <v>64652.77777777778</v>
      </c>
      <c r="O30" s="19">
        <f>SUM(O18:O29)</f>
        <v>64652.77777777778</v>
      </c>
      <c r="P30" s="19">
        <f>SUM(P18:P29)</f>
        <v>1932583.833081979</v>
      </c>
      <c r="Q30" s="19">
        <f>SUM(Q18:Q29)</f>
        <v>64652.77777777778</v>
      </c>
      <c r="R30" s="19">
        <f>SUM(R18:R29)</f>
        <v>64652.77777777778</v>
      </c>
      <c r="S30" s="19">
        <f>SUM(S18:S29)</f>
        <v>64652.77777777778</v>
      </c>
      <c r="T30" s="19">
        <f>SUM(T18:T29)</f>
        <v>64652.77777777778</v>
      </c>
      <c r="U30" s="19">
        <f>SUM(U18:U29)</f>
        <v>64652.77777777778</v>
      </c>
      <c r="V30" s="19">
        <f>SUM(V18:V29)</f>
        <v>1932583.833081979</v>
      </c>
      <c r="W30" s="19">
        <f>SUM(W18:W29)</f>
        <v>64652.77777777778</v>
      </c>
      <c r="X30" s="19">
        <f>SUM(X18:X29)</f>
        <v>64652.77777777778</v>
      </c>
      <c r="Y30" s="19">
        <f>SUM(Y18:Y29)</f>
        <v>64652.77777777778</v>
      </c>
      <c r="Z30" s="19">
        <f>SUMIF($B$13:$Y$13,"Yes",B30:Y30)</f>
        <v>4576348.221719516</v>
      </c>
      <c r="AA30" s="19">
        <f>SUM(B30:M30)</f>
        <v>4511695.443941738</v>
      </c>
      <c r="AB30" s="19">
        <f>SUM(B30:Y30)</f>
        <v>9023390.887883477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Carrots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422400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422400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422400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422400</v>
      </c>
      <c r="Y42" s="36">
        <f>SUM(Y43:Y47)</f>
        <v>0</v>
      </c>
      <c r="Z42" s="36">
        <f>SUMIF($B$13:$Y$13,"Yes",B42:Y42)</f>
        <v>844800</v>
      </c>
      <c r="AA42" s="36">
        <f>SUM(B42:M42)</f>
        <v>844800</v>
      </c>
      <c r="AB42" s="36">
        <f>SUM(B42:Y42)</f>
        <v>1689600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360000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360000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360000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360000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720000</v>
      </c>
      <c r="AA43" s="36">
        <f>SUM(B43:M43)</f>
        <v>720000</v>
      </c>
      <c r="AB43" s="36">
        <f>SUM(B43:Y43)</f>
        <v>1440000</v>
      </c>
    </row>
    <row r="44" spans="1:30" hidden="true" outlineLevel="1">
      <c r="A44" s="181" t="str">
        <f>Calculations!$A$5</f>
        <v>Carrots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62400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62400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62400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62400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124800</v>
      </c>
      <c r="AA44" s="36">
        <f>SUM(B44:M44)</f>
        <v>124800</v>
      </c>
      <c r="AB44" s="36">
        <f>SUM(B44:Y44)</f>
        <v>249600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75900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75900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75900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75900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227700</v>
      </c>
      <c r="AA48" s="46">
        <f>SUM(B48:M48)</f>
        <v>151800</v>
      </c>
      <c r="AB48" s="46">
        <f>SUM(B48:Y48)</f>
        <v>303600</v>
      </c>
    </row>
    <row r="49" spans="1:30" hidden="true" outlineLevel="1">
      <c r="A49" s="181" t="str">
        <f>Calculations!$A$4</f>
        <v>Potatoes</v>
      </c>
      <c r="B49" s="36">
        <f>N49</f>
        <v>64500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64500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64500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64500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193500</v>
      </c>
      <c r="AA49" s="46">
        <f>SUM(B49:M49)</f>
        <v>129000</v>
      </c>
      <c r="AB49" s="46">
        <f>SUM(B49:Y49)</f>
        <v>258000</v>
      </c>
    </row>
    <row r="50" spans="1:30" hidden="true" outlineLevel="1">
      <c r="A50" s="181" t="str">
        <f>Calculations!$A$5</f>
        <v>Carrots</v>
      </c>
      <c r="B50" s="36">
        <f>N50</f>
        <v>11400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11400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11400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11400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34200</v>
      </c>
      <c r="AA50" s="46">
        <f>SUM(B50:M50)</f>
        <v>22800</v>
      </c>
      <c r="AB50" s="46">
        <f>SUM(B50:Y50)</f>
        <v>45600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Carrots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Carrots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54150</v>
      </c>
      <c r="C66" s="36">
        <f>O66</f>
        <v>54150</v>
      </c>
      <c r="D66" s="36">
        <f>P66</f>
        <v>54150</v>
      </c>
      <c r="E66" s="36">
        <f>Q66</f>
        <v>0</v>
      </c>
      <c r="F66" s="36">
        <f>R66</f>
        <v>54150</v>
      </c>
      <c r="G66" s="36">
        <f>S66</f>
        <v>54150</v>
      </c>
      <c r="H66" s="36">
        <f>T66</f>
        <v>54150</v>
      </c>
      <c r="I66" s="36">
        <f>U66</f>
        <v>54150</v>
      </c>
      <c r="J66" s="36">
        <f>V66</f>
        <v>54150</v>
      </c>
      <c r="K66" s="36">
        <f>W66</f>
        <v>0</v>
      </c>
      <c r="L66" s="36">
        <f>X66</f>
        <v>54150</v>
      </c>
      <c r="M66" s="36">
        <f>Y66</f>
        <v>54150</v>
      </c>
      <c r="N66" s="46">
        <f>SUM(N67:N71)</f>
        <v>54150</v>
      </c>
      <c r="O66" s="46">
        <f>SUM(O67:O71)</f>
        <v>54150</v>
      </c>
      <c r="P66" s="46">
        <f>SUM(P67:P71)</f>
        <v>54150</v>
      </c>
      <c r="Q66" s="46">
        <f>SUM(Q67:Q71)</f>
        <v>0</v>
      </c>
      <c r="R66" s="46">
        <f>SUM(R67:R71)</f>
        <v>54150</v>
      </c>
      <c r="S66" s="46">
        <f>SUM(S67:S71)</f>
        <v>54150</v>
      </c>
      <c r="T66" s="46">
        <f>SUM(T67:T71)</f>
        <v>54150</v>
      </c>
      <c r="U66" s="46">
        <f>SUM(U67:U71)</f>
        <v>54150</v>
      </c>
      <c r="V66" s="46">
        <f>SUM(V67:V71)</f>
        <v>54150</v>
      </c>
      <c r="W66" s="46">
        <f>SUM(W67:W71)</f>
        <v>0</v>
      </c>
      <c r="X66" s="46">
        <f>SUM(X67:X71)</f>
        <v>54150</v>
      </c>
      <c r="Y66" s="46">
        <f>SUM(Y67:Y71)</f>
        <v>54150</v>
      </c>
      <c r="Z66" s="46">
        <f>SUMIF($B$13:$Y$13,"Yes",B66:Y66)</f>
        <v>595650</v>
      </c>
      <c r="AA66" s="46">
        <f>SUM(B66:M66)</f>
        <v>541500</v>
      </c>
      <c r="AB66" s="46">
        <f>SUM(B66:Y66)</f>
        <v>1083000</v>
      </c>
    </row>
    <row r="67" spans="1:30" hidden="true" outlineLevel="1">
      <c r="A67" s="181" t="str">
        <f>Calculations!$A$4</f>
        <v>Potatoes</v>
      </c>
      <c r="B67" s="36">
        <f>N67</f>
        <v>32490</v>
      </c>
      <c r="C67" s="36">
        <f>O67</f>
        <v>32490</v>
      </c>
      <c r="D67" s="36">
        <f>P67</f>
        <v>32490</v>
      </c>
      <c r="E67" s="36">
        <f>Q67</f>
        <v>0</v>
      </c>
      <c r="F67" s="36">
        <f>R67</f>
        <v>32490</v>
      </c>
      <c r="G67" s="36">
        <f>S67</f>
        <v>32490</v>
      </c>
      <c r="H67" s="36">
        <f>T67</f>
        <v>32490</v>
      </c>
      <c r="I67" s="36">
        <f>U67</f>
        <v>32490</v>
      </c>
      <c r="J67" s="36">
        <f>V67</f>
        <v>32490</v>
      </c>
      <c r="K67" s="36">
        <f>W67</f>
        <v>0</v>
      </c>
      <c r="L67" s="36">
        <f>X67</f>
        <v>32490</v>
      </c>
      <c r="M67" s="36">
        <f>Y67</f>
        <v>32490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32490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32490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32490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32490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32490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32490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32490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32490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32490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32490</v>
      </c>
      <c r="Z67" s="46">
        <f>SUMIF($B$13:$Y$13,"Yes",B67:Y67)</f>
        <v>357390</v>
      </c>
      <c r="AA67" s="46">
        <f>SUM(B67:M67)</f>
        <v>324900</v>
      </c>
      <c r="AB67" s="46">
        <f>SUM(B67:Y67)</f>
        <v>649800</v>
      </c>
    </row>
    <row r="68" spans="1:30" hidden="true" outlineLevel="1">
      <c r="A68" s="181" t="str">
        <f>Calculations!$A$5</f>
        <v>Carrots</v>
      </c>
      <c r="B68" s="36">
        <f>N68</f>
        <v>21660</v>
      </c>
      <c r="C68" s="36">
        <f>O68</f>
        <v>21660</v>
      </c>
      <c r="D68" s="36">
        <f>P68</f>
        <v>21660</v>
      </c>
      <c r="E68" s="36">
        <f>Q68</f>
        <v>0</v>
      </c>
      <c r="F68" s="36">
        <f>R68</f>
        <v>21660</v>
      </c>
      <c r="G68" s="36">
        <f>S68</f>
        <v>21660</v>
      </c>
      <c r="H68" s="36">
        <f>T68</f>
        <v>21660</v>
      </c>
      <c r="I68" s="36">
        <f>U68</f>
        <v>21660</v>
      </c>
      <c r="J68" s="36">
        <f>V68</f>
        <v>21660</v>
      </c>
      <c r="K68" s="36">
        <f>W68</f>
        <v>0</v>
      </c>
      <c r="L68" s="36">
        <f>X68</f>
        <v>21660</v>
      </c>
      <c r="M68" s="36">
        <f>Y68</f>
        <v>21660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21660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21660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21660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21660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21660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21660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21660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21660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21660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21660</v>
      </c>
      <c r="Z68" s="46">
        <f>SUMIF($B$13:$Y$13,"Yes",B68:Y68)</f>
        <v>238260</v>
      </c>
      <c r="AA68" s="46">
        <f>SUM(B68:M68)</f>
        <v>216600</v>
      </c>
      <c r="AB68" s="46">
        <f>SUM(B68:Y68)</f>
        <v>433200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38020.83333333334</v>
      </c>
      <c r="C74" s="46">
        <f>SUM(Calculations!$Q$14:$Q$16)/12</f>
        <v>38020.83333333334</v>
      </c>
      <c r="D74" s="46">
        <f>SUM(Calculations!$Q$14:$Q$16)/12</f>
        <v>38020.83333333334</v>
      </c>
      <c r="E74" s="46">
        <f>SUM(Calculations!$Q$14:$Q$16)/12</f>
        <v>38020.83333333334</v>
      </c>
      <c r="F74" s="46">
        <f>SUM(Calculations!$Q$14:$Q$16)/12</f>
        <v>38020.83333333334</v>
      </c>
      <c r="G74" s="46">
        <f>SUM(Calculations!$Q$14:$Q$16)/12</f>
        <v>38020.83333333334</v>
      </c>
      <c r="H74" s="46">
        <f>SUM(Calculations!$Q$14:$Q$16)/12</f>
        <v>38020.83333333334</v>
      </c>
      <c r="I74" s="46">
        <f>SUM(Calculations!$Q$14:$Q$16)/12</f>
        <v>38020.83333333334</v>
      </c>
      <c r="J74" s="46">
        <f>SUM(Calculations!$Q$14:$Q$16)/12</f>
        <v>38020.83333333334</v>
      </c>
      <c r="K74" s="46">
        <f>SUM(Calculations!$Q$14:$Q$16)/12</f>
        <v>38020.83333333334</v>
      </c>
      <c r="L74" s="46">
        <f>SUM(Calculations!$Q$14:$Q$16)/12</f>
        <v>38020.83333333334</v>
      </c>
      <c r="M74" s="46">
        <f>SUM(Calculations!$Q$14:$Q$16)/12</f>
        <v>38020.83333333334</v>
      </c>
      <c r="N74" s="46">
        <f>SUM(Calculations!$Q$14:$Q$16)/12</f>
        <v>38020.83333333334</v>
      </c>
      <c r="O74" s="46">
        <f>SUM(Calculations!$Q$14:$Q$16)/12</f>
        <v>38020.83333333334</v>
      </c>
      <c r="P74" s="46">
        <f>SUM(Calculations!$Q$14:$Q$16)/12</f>
        <v>38020.83333333334</v>
      </c>
      <c r="Q74" s="46">
        <f>SUM(Calculations!$Q$14:$Q$16)/12</f>
        <v>38020.83333333334</v>
      </c>
      <c r="R74" s="46">
        <f>SUM(Calculations!$Q$14:$Q$16)/12</f>
        <v>38020.83333333334</v>
      </c>
      <c r="S74" s="46">
        <f>SUM(Calculations!$Q$14:$Q$16)/12</f>
        <v>38020.83333333334</v>
      </c>
      <c r="T74" s="46">
        <f>SUM(Calculations!$Q$14:$Q$16)/12</f>
        <v>38020.83333333334</v>
      </c>
      <c r="U74" s="46">
        <f>SUM(Calculations!$Q$14:$Q$16)/12</f>
        <v>38020.83333333334</v>
      </c>
      <c r="V74" s="46">
        <f>SUM(Calculations!$Q$14:$Q$16)/12</f>
        <v>38020.83333333334</v>
      </c>
      <c r="W74" s="46">
        <f>SUM(Calculations!$Q$14:$Q$16)/12</f>
        <v>38020.83333333334</v>
      </c>
      <c r="X74" s="46">
        <f>SUM(Calculations!$Q$14:$Q$16)/12</f>
        <v>38020.83333333334</v>
      </c>
      <c r="Y74" s="46">
        <f>SUM(Calculations!$Q$14:$Q$16)/12</f>
        <v>38020.83333333334</v>
      </c>
      <c r="Z74" s="46">
        <f>SUMIF($B$13:$Y$13,"Yes",B74:Y74)</f>
        <v>494270.8333333333</v>
      </c>
      <c r="AA74" s="46">
        <f>SUM(B74:M74)</f>
        <v>456249.9999999999</v>
      </c>
      <c r="AB74" s="46">
        <f>SUM(B74:Y74)</f>
        <v>912500.0000000003</v>
      </c>
    </row>
    <row r="75" spans="1:30">
      <c r="A75" s="16" t="s">
        <v>47</v>
      </c>
      <c r="B75" s="46">
        <f>SUM(Calculations!$R$14:$R$16)/12</f>
        <v>3250</v>
      </c>
      <c r="C75" s="46">
        <f>SUM(Calculations!$R$14:$R$16)/12</f>
        <v>3250</v>
      </c>
      <c r="D75" s="46">
        <f>SUM(Calculations!$R$14:$R$16)/12</f>
        <v>3250</v>
      </c>
      <c r="E75" s="46">
        <f>SUM(Calculations!$R$14:$R$16)/12</f>
        <v>3250</v>
      </c>
      <c r="F75" s="46">
        <f>SUM(Calculations!$R$14:$R$16)/12</f>
        <v>3250</v>
      </c>
      <c r="G75" s="46">
        <f>SUM(Calculations!$R$14:$R$16)/12</f>
        <v>3250</v>
      </c>
      <c r="H75" s="46">
        <f>SUM(Calculations!$R$14:$R$16)/12</f>
        <v>3250</v>
      </c>
      <c r="I75" s="46">
        <f>SUM(Calculations!$R$14:$R$16)/12</f>
        <v>3250</v>
      </c>
      <c r="J75" s="46">
        <f>SUM(Calculations!$R$14:$R$16)/12</f>
        <v>3250</v>
      </c>
      <c r="K75" s="46">
        <f>SUM(Calculations!$R$14:$R$16)/12</f>
        <v>3250</v>
      </c>
      <c r="L75" s="46">
        <f>SUM(Calculations!$R$14:$R$16)/12</f>
        <v>3250</v>
      </c>
      <c r="M75" s="46">
        <f>SUM(Calculations!$R$14:$R$16)/12</f>
        <v>3250</v>
      </c>
      <c r="N75" s="46">
        <f>SUM(Calculations!$R$14:$R$16)/12</f>
        <v>3250</v>
      </c>
      <c r="O75" s="46">
        <f>SUM(Calculations!$R$14:$R$16)/12</f>
        <v>3250</v>
      </c>
      <c r="P75" s="46">
        <f>SUM(Calculations!$R$14:$R$16)/12</f>
        <v>3250</v>
      </c>
      <c r="Q75" s="46">
        <f>SUM(Calculations!$R$14:$R$16)/12</f>
        <v>3250</v>
      </c>
      <c r="R75" s="46">
        <f>SUM(Calculations!$R$14:$R$16)/12</f>
        <v>3250</v>
      </c>
      <c r="S75" s="46">
        <f>SUM(Calculations!$R$14:$R$16)/12</f>
        <v>3250</v>
      </c>
      <c r="T75" s="46">
        <f>SUM(Calculations!$R$14:$R$16)/12</f>
        <v>3250</v>
      </c>
      <c r="U75" s="46">
        <f>SUM(Calculations!$R$14:$R$16)/12</f>
        <v>3250</v>
      </c>
      <c r="V75" s="46">
        <f>SUM(Calculations!$R$14:$R$16)/12</f>
        <v>3250</v>
      </c>
      <c r="W75" s="46">
        <f>SUM(Calculations!$R$14:$R$16)/12</f>
        <v>3250</v>
      </c>
      <c r="X75" s="46">
        <f>SUM(Calculations!$R$14:$R$16)/12</f>
        <v>3250</v>
      </c>
      <c r="Y75" s="46">
        <f>SUM(Calculations!$R$14:$R$16)/12</f>
        <v>3250</v>
      </c>
      <c r="Z75" s="46">
        <f>SUMIF($B$13:$Y$13,"Yes",B75:Y75)</f>
        <v>42250</v>
      </c>
      <c r="AA75" s="46">
        <f>SUM(B75:M75)</f>
        <v>39000</v>
      </c>
      <c r="AB75" s="46">
        <f>SUM(B75:Y75)</f>
        <v>78000</v>
      </c>
    </row>
    <row r="76" spans="1:30">
      <c r="A76" s="16" t="s">
        <v>48</v>
      </c>
      <c r="B76" s="46">
        <f>SUM(Calculations!$S$14:$S$16)/12</f>
        <v>4458.333333333333</v>
      </c>
      <c r="C76" s="46">
        <f>SUM(Calculations!$S$14:$S$16)/12</f>
        <v>4458.333333333333</v>
      </c>
      <c r="D76" s="46">
        <f>SUM(Calculations!$S$14:$S$16)/12</f>
        <v>4458.333333333333</v>
      </c>
      <c r="E76" s="46">
        <f>SUM(Calculations!$S$14:$S$16)/12</f>
        <v>4458.333333333333</v>
      </c>
      <c r="F76" s="46">
        <f>SUM(Calculations!$S$14:$S$16)/12</f>
        <v>4458.333333333333</v>
      </c>
      <c r="G76" s="46">
        <f>SUM(Calculations!$S$14:$S$16)/12</f>
        <v>4458.333333333333</v>
      </c>
      <c r="H76" s="46">
        <f>SUM(Calculations!$S$14:$S$16)/12</f>
        <v>4458.333333333333</v>
      </c>
      <c r="I76" s="46">
        <f>SUM(Calculations!$S$14:$S$16)/12</f>
        <v>4458.333333333333</v>
      </c>
      <c r="J76" s="46">
        <f>SUM(Calculations!$S$14:$S$16)/12</f>
        <v>4458.333333333333</v>
      </c>
      <c r="K76" s="46">
        <f>SUM(Calculations!$S$14:$S$16)/12</f>
        <v>4458.333333333333</v>
      </c>
      <c r="L76" s="46">
        <f>SUM(Calculations!$S$14:$S$16)/12</f>
        <v>4458.333333333333</v>
      </c>
      <c r="M76" s="46">
        <f>SUM(Calculations!$S$14:$S$16)/12</f>
        <v>4458.333333333333</v>
      </c>
      <c r="N76" s="46">
        <f>SUM(Calculations!$S$14:$S$16)/12</f>
        <v>4458.333333333333</v>
      </c>
      <c r="O76" s="46">
        <f>SUM(Calculations!$S$14:$S$16)/12</f>
        <v>4458.333333333333</v>
      </c>
      <c r="P76" s="46">
        <f>SUM(Calculations!$S$14:$S$16)/12</f>
        <v>4458.333333333333</v>
      </c>
      <c r="Q76" s="46">
        <f>SUM(Calculations!$S$14:$S$16)/12</f>
        <v>4458.333333333333</v>
      </c>
      <c r="R76" s="46">
        <f>SUM(Calculations!$S$14:$S$16)/12</f>
        <v>4458.333333333333</v>
      </c>
      <c r="S76" s="46">
        <f>SUM(Calculations!$S$14:$S$16)/12</f>
        <v>4458.333333333333</v>
      </c>
      <c r="T76" s="46">
        <f>SUM(Calculations!$S$14:$S$16)/12</f>
        <v>4458.333333333333</v>
      </c>
      <c r="U76" s="46">
        <f>SUM(Calculations!$S$14:$S$16)/12</f>
        <v>4458.333333333333</v>
      </c>
      <c r="V76" s="46">
        <f>SUM(Calculations!$S$14:$S$16)/12</f>
        <v>4458.333333333333</v>
      </c>
      <c r="W76" s="46">
        <f>SUM(Calculations!$S$14:$S$16)/12</f>
        <v>4458.333333333333</v>
      </c>
      <c r="X76" s="46">
        <f>SUM(Calculations!$S$14:$S$16)/12</f>
        <v>4458.333333333333</v>
      </c>
      <c r="Y76" s="46">
        <f>SUM(Calculations!$S$14:$S$16)/12</f>
        <v>4458.333333333333</v>
      </c>
      <c r="Z76" s="46">
        <f>SUMIF($B$13:$Y$13,"Yes",B76:Y76)</f>
        <v>57958.33333333334</v>
      </c>
      <c r="AA76" s="46">
        <f>SUM(B76:M76)</f>
        <v>53500.00000000001</v>
      </c>
      <c r="AB76" s="46">
        <f>SUM(B76:Y76)</f>
        <v>107000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80828.18146472455</v>
      </c>
      <c r="C81" s="46">
        <f>(SUM($AA$18:$AA$29)-SUM($AA$36,$AA$42,$AA$48,$AA$54,$AA$60,$AA$66,$AA$72:$AA$79))*Parameters!$B$37/12</f>
        <v>80828.18146472455</v>
      </c>
      <c r="D81" s="46">
        <f>(SUM($AA$18:$AA$29)-SUM($AA$36,$AA$42,$AA$48,$AA$54,$AA$60,$AA$66,$AA$72:$AA$79))*Parameters!$B$37/12</f>
        <v>80828.18146472455</v>
      </c>
      <c r="E81" s="46">
        <f>(SUM($AA$18:$AA$29)-SUM($AA$36,$AA$42,$AA$48,$AA$54,$AA$60,$AA$66,$AA$72:$AA$79))*Parameters!$B$37/12</f>
        <v>80828.18146472455</v>
      </c>
      <c r="F81" s="46">
        <f>(SUM($AA$18:$AA$29)-SUM($AA$36,$AA$42,$AA$48,$AA$54,$AA$60,$AA$66,$AA$72:$AA$79))*Parameters!$B$37/12</f>
        <v>80828.18146472455</v>
      </c>
      <c r="G81" s="46">
        <f>(SUM($AA$18:$AA$29)-SUM($AA$36,$AA$42,$AA$48,$AA$54,$AA$60,$AA$66,$AA$72:$AA$79))*Parameters!$B$37/12</f>
        <v>80828.18146472455</v>
      </c>
      <c r="H81" s="46">
        <f>(SUM($AA$18:$AA$29)-SUM($AA$36,$AA$42,$AA$48,$AA$54,$AA$60,$AA$66,$AA$72:$AA$79))*Parameters!$B$37/12</f>
        <v>80828.18146472455</v>
      </c>
      <c r="I81" s="46">
        <f>(SUM($AA$18:$AA$29)-SUM($AA$36,$AA$42,$AA$48,$AA$54,$AA$60,$AA$66,$AA$72:$AA$79))*Parameters!$B$37/12</f>
        <v>80828.18146472455</v>
      </c>
      <c r="J81" s="46">
        <f>(SUM($AA$18:$AA$29)-SUM($AA$36,$AA$42,$AA$48,$AA$54,$AA$60,$AA$66,$AA$72:$AA$79))*Parameters!$B$37/12</f>
        <v>80828.18146472455</v>
      </c>
      <c r="K81" s="46">
        <f>(SUM($AA$18:$AA$29)-SUM($AA$36,$AA$42,$AA$48,$AA$54,$AA$60,$AA$66,$AA$72:$AA$79))*Parameters!$B$37/12</f>
        <v>80828.18146472455</v>
      </c>
      <c r="L81" s="46">
        <f>(SUM($AA$18:$AA$29)-SUM($AA$36,$AA$42,$AA$48,$AA$54,$AA$60,$AA$66,$AA$72:$AA$79))*Parameters!$B$37/12</f>
        <v>80828.18146472455</v>
      </c>
      <c r="M81" s="46">
        <f>(SUM($AA$18:$AA$29)-SUM($AA$36,$AA$42,$AA$48,$AA$54,$AA$60,$AA$66,$AA$72:$AA$79))*Parameters!$B$37/12</f>
        <v>80828.18146472455</v>
      </c>
      <c r="N81" s="46">
        <f>(SUM($AA$18:$AA$29)-SUM($AA$36,$AA$42,$AA$48,$AA$54,$AA$60,$AA$66,$AA$72:$AA$79))*Parameters!$B$37/12</f>
        <v>80828.18146472455</v>
      </c>
      <c r="O81" s="46">
        <f>(SUM($AA$18:$AA$29)-SUM($AA$36,$AA$42,$AA$48,$AA$54,$AA$60,$AA$66,$AA$72:$AA$79))*Parameters!$B$37/12</f>
        <v>80828.18146472455</v>
      </c>
      <c r="P81" s="46">
        <f>(SUM($AA$18:$AA$29)-SUM($AA$36,$AA$42,$AA$48,$AA$54,$AA$60,$AA$66,$AA$72:$AA$79))*Parameters!$B$37/12</f>
        <v>80828.18146472455</v>
      </c>
      <c r="Q81" s="46">
        <f>(SUM($AA$18:$AA$29)-SUM($AA$36,$AA$42,$AA$48,$AA$54,$AA$60,$AA$66,$AA$72:$AA$79))*Parameters!$B$37/12</f>
        <v>80828.18146472455</v>
      </c>
      <c r="R81" s="46">
        <f>(SUM($AA$18:$AA$29)-SUM($AA$36,$AA$42,$AA$48,$AA$54,$AA$60,$AA$66,$AA$72:$AA$79))*Parameters!$B$37/12</f>
        <v>80828.18146472455</v>
      </c>
      <c r="S81" s="46">
        <f>(SUM($AA$18:$AA$29)-SUM($AA$36,$AA$42,$AA$48,$AA$54,$AA$60,$AA$66,$AA$72:$AA$79))*Parameters!$B$37/12</f>
        <v>80828.18146472455</v>
      </c>
      <c r="T81" s="46">
        <f>(SUM($AA$18:$AA$29)-SUM($AA$36,$AA$42,$AA$48,$AA$54,$AA$60,$AA$66,$AA$72:$AA$79))*Parameters!$B$37/12</f>
        <v>80828.18146472455</v>
      </c>
      <c r="U81" s="46">
        <f>(SUM($AA$18:$AA$29)-SUM($AA$36,$AA$42,$AA$48,$AA$54,$AA$60,$AA$66,$AA$72:$AA$79))*Parameters!$B$37/12</f>
        <v>80828.18146472455</v>
      </c>
      <c r="V81" s="46">
        <f>(SUM($AA$18:$AA$29)-SUM($AA$36,$AA$42,$AA$48,$AA$54,$AA$60,$AA$66,$AA$72:$AA$79))*Parameters!$B$37/12</f>
        <v>80828.18146472455</v>
      </c>
      <c r="W81" s="46">
        <f>(SUM($AA$18:$AA$29)-SUM($AA$36,$AA$42,$AA$48,$AA$54,$AA$60,$AA$66,$AA$72:$AA$79))*Parameters!$B$37/12</f>
        <v>80828.18146472455</v>
      </c>
      <c r="X81" s="46">
        <f>(SUM($AA$18:$AA$29)-SUM($AA$36,$AA$42,$AA$48,$AA$54,$AA$60,$AA$66,$AA$72:$AA$79))*Parameters!$B$37/12</f>
        <v>80828.18146472455</v>
      </c>
      <c r="Y81" s="46">
        <f>(SUM($AA$18:$AA$29)-SUM($AA$36,$AA$42,$AA$48,$AA$54,$AA$60,$AA$66,$AA$72:$AA$79))*Parameters!$B$37/12</f>
        <v>80828.18146472455</v>
      </c>
      <c r="Z81" s="46">
        <f>SUMIF($B$13:$Y$13,"Yes",B81:Y81)</f>
        <v>1050766.359041419</v>
      </c>
      <c r="AA81" s="46">
        <f>SUM(B81:M81)</f>
        <v>969938.1775766948</v>
      </c>
      <c r="AB81" s="46">
        <f>SUM(B81:Y81)</f>
        <v>1939876.355153389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256607.3481313912</v>
      </c>
      <c r="C88" s="19">
        <f>SUM(C72:C82,C66,C60,C54,C48,C42,C36)</f>
        <v>180707.3481313912</v>
      </c>
      <c r="D88" s="19">
        <f>SUM(D72:D82,D66,D60,D54,D48,D42,D36)</f>
        <v>180707.3481313912</v>
      </c>
      <c r="E88" s="19">
        <f>SUM(E72:E82,E66,E60,E54,E48,E42,E36)</f>
        <v>126557.3481313912</v>
      </c>
      <c r="F88" s="19">
        <f>SUM(F72:F82,F66,F60,F54,F48,F42,F36)</f>
        <v>603107.3481313912</v>
      </c>
      <c r="G88" s="19">
        <f>SUM(G72:G82,G66,G60,G54,G48,G42,G36)</f>
        <v>180707.3481313912</v>
      </c>
      <c r="H88" s="19">
        <f>SUM(H72:H82,H66,H60,H54,H48,H42,H36)</f>
        <v>256607.3481313912</v>
      </c>
      <c r="I88" s="19">
        <f>SUM(I72:I82,I66,I60,I54,I48,I42,I36)</f>
        <v>180707.3481313912</v>
      </c>
      <c r="J88" s="19">
        <f>SUM(J72:J82,J66,J60,J54,J48,J42,J36)</f>
        <v>180707.3481313912</v>
      </c>
      <c r="K88" s="19">
        <f>SUM(K72:K82,K66,K60,K54,K48,K42,K36)</f>
        <v>126557.3481313912</v>
      </c>
      <c r="L88" s="19">
        <f>SUM(L72:L82,L66,L60,L54,L48,L42,L36)</f>
        <v>603107.3481313912</v>
      </c>
      <c r="M88" s="19">
        <f>SUM(M72:M82,M66,M60,M54,M48,M42,M36)</f>
        <v>180707.3481313912</v>
      </c>
      <c r="N88" s="19">
        <f>SUM(N72:N82,N66,N60,N54,N48,N42,N36)</f>
        <v>256607.3481313912</v>
      </c>
      <c r="O88" s="19">
        <f>SUM(O72:O82,O66,O60,O54,O48,O42,O36)</f>
        <v>180707.3481313912</v>
      </c>
      <c r="P88" s="19">
        <f>SUM(P72:P82,P66,P60,P54,P48,P42,P36)</f>
        <v>180707.3481313912</v>
      </c>
      <c r="Q88" s="19">
        <f>SUM(Q72:Q82,Q66,Q60,Q54,Q48,Q42,Q36)</f>
        <v>126557.3481313912</v>
      </c>
      <c r="R88" s="19">
        <f>SUM(R72:R82,R66,R60,R54,R48,R42,R36)</f>
        <v>603107.3481313912</v>
      </c>
      <c r="S88" s="19">
        <f>SUM(S72:S82,S66,S60,S54,S48,S42,S36)</f>
        <v>180707.3481313912</v>
      </c>
      <c r="T88" s="19">
        <f>SUM(T72:T82,T66,T60,T54,T48,T42,T36)</f>
        <v>256607.3481313912</v>
      </c>
      <c r="U88" s="19">
        <f>SUM(U72:U82,U66,U60,U54,U48,U42,U36)</f>
        <v>180707.3481313912</v>
      </c>
      <c r="V88" s="19">
        <f>SUM(V72:V82,V66,V60,V54,V48,V42,V36)</f>
        <v>180707.3481313912</v>
      </c>
      <c r="W88" s="19">
        <f>SUM(W72:W82,W66,W60,W54,W48,W42,W36)</f>
        <v>126557.3481313912</v>
      </c>
      <c r="X88" s="19">
        <f>SUM(X72:X82,X66,X60,X54,X48,X42,X36)</f>
        <v>603107.3481313912</v>
      </c>
      <c r="Y88" s="19">
        <f>SUM(Y72:Y82,Y66,Y60,Y54,Y48,Y42,Y36)</f>
        <v>180707.3481313912</v>
      </c>
      <c r="Z88" s="19">
        <f>SUMIF($B$13:$Y$13,"Yes",B88:Y88)</f>
        <v>3313395.525708086</v>
      </c>
      <c r="AA88" s="19">
        <f>SUM(B88:M88)</f>
        <v>3056788.177576695</v>
      </c>
      <c r="AB88" s="19">
        <f>SUM(B88:Y88)</f>
        <v>6113576.355153389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2065000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30100000</v>
      </c>
    </row>
    <row r="98" spans="1:30">
      <c r="A98" t="s">
        <v>64</v>
      </c>
      <c r="B98" s="36">
        <f>IF(Inputs!B44="Yes",Inputs!B45,0)</f>
        <v>25000</v>
      </c>
    </row>
    <row r="99" spans="1:30">
      <c r="A99" t="s">
        <v>65</v>
      </c>
      <c r="B99" s="36">
        <f>Inputs!B46</f>
        <v>1500</v>
      </c>
    </row>
    <row r="100" spans="1:30" customHeight="1" ht="15.75">
      <c r="A100" s="18" t="s">
        <v>66</v>
      </c>
      <c r="B100" s="37">
        <f>Inputs!B48</f>
        <v>5000000</v>
      </c>
    </row>
    <row r="101" spans="1:30" customHeight="1" ht="15.75">
      <c r="A101" s="1" t="s">
        <v>67</v>
      </c>
      <c r="B101" s="19">
        <f>SUM(B94:B100)</f>
        <v>37716500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6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 t="s">
        <v>96</v>
      </c>
      <c r="B9" s="16"/>
      <c r="C9" s="143">
        <v>65</v>
      </c>
      <c r="D9" s="16"/>
      <c r="E9" s="147" t="s">
        <v>97</v>
      </c>
      <c r="F9" s="149" t="s">
        <v>91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120</v>
      </c>
      <c r="D19" s="145"/>
      <c r="E19" s="20"/>
      <c r="F19" s="145" t="s">
        <v>92</v>
      </c>
      <c r="G19" s="20"/>
      <c r="H19" s="20"/>
      <c r="I19" s="145" t="s">
        <v>113</v>
      </c>
      <c r="J19" s="145"/>
      <c r="K19" s="145"/>
      <c r="L19" s="25"/>
    </row>
    <row r="20" spans="1:48">
      <c r="A20" s="143" t="s">
        <v>114</v>
      </c>
      <c r="B20" s="16"/>
      <c r="C20" s="143">
        <v>25</v>
      </c>
      <c r="D20" s="147"/>
      <c r="E20" s="16"/>
      <c r="F20" s="147" t="s">
        <v>93</v>
      </c>
      <c r="G20" s="16"/>
      <c r="H20" s="16"/>
      <c r="I20" s="147" t="s">
        <v>115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5</v>
      </c>
    </row>
    <row r="27" spans="1:48">
      <c r="A27" s="14" t="s">
        <v>118</v>
      </c>
    </row>
    <row r="29" spans="1:48">
      <c r="A29" s="45" t="s">
        <v>119</v>
      </c>
      <c r="B29" s="156"/>
    </row>
    <row r="30" spans="1:48">
      <c r="A30" s="44" t="s">
        <v>120</v>
      </c>
      <c r="B30" s="157">
        <v>0</v>
      </c>
    </row>
    <row r="31" spans="1:48">
      <c r="A31" s="5" t="s">
        <v>121</v>
      </c>
      <c r="B31" s="158">
        <v>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25000</v>
      </c>
    </row>
    <row r="46" spans="1:48" customHeight="1" ht="30">
      <c r="A46" s="57" t="s">
        <v>135</v>
      </c>
      <c r="B46" s="161">
        <v>1500</v>
      </c>
    </row>
    <row r="47" spans="1:48" customHeight="1" ht="30">
      <c r="A47" s="57" t="s">
        <v>136</v>
      </c>
      <c r="B47" s="161">
        <v>500000</v>
      </c>
    </row>
    <row r="48" spans="1:48" customHeight="1" ht="30">
      <c r="A48" s="57" t="s">
        <v>137</v>
      </c>
      <c r="B48" s="161">
        <v>5000000</v>
      </c>
    </row>
    <row r="49" spans="1:48" customHeight="1" ht="30">
      <c r="A49" s="57" t="s">
        <v>138</v>
      </c>
      <c r="B49" s="161">
        <v>25000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148</v>
      </c>
      <c r="C65" s="10" t="s">
        <v>149</v>
      </c>
    </row>
    <row r="66" spans="1:48">
      <c r="A66" s="142" t="s">
        <v>150</v>
      </c>
      <c r="B66" s="159">
        <v>131037</v>
      </c>
      <c r="C66" s="163">
        <v>128987</v>
      </c>
      <c r="D66" s="49">
        <f>INDEX(Parameters!$D$79:$D$90,MATCH(Inputs!A66,Parameters!$C$79:$C$90,0))</f>
        <v>9</v>
      </c>
    </row>
    <row r="67" spans="1:48">
      <c r="A67" s="143" t="s">
        <v>151</v>
      </c>
      <c r="B67" s="157">
        <v>25570</v>
      </c>
      <c r="C67" s="165">
        <v>21372</v>
      </c>
      <c r="D67" s="49">
        <f>INDEX(Parameters!$D$79:$D$90,MATCH(Inputs!A67,Parameters!$C$79:$C$90,0))</f>
        <v>8</v>
      </c>
    </row>
    <row r="68" spans="1:48">
      <c r="A68" s="143" t="s">
        <v>152</v>
      </c>
      <c r="B68" s="157">
        <v>78620</v>
      </c>
      <c r="C68" s="165">
        <v>73478</v>
      </c>
      <c r="D68" s="49">
        <f>INDEX(Parameters!$D$79:$D$90,MATCH(Inputs!A68,Parameters!$C$79:$C$90,0))</f>
        <v>7</v>
      </c>
    </row>
    <row r="69" spans="1:48">
      <c r="A69" s="143" t="s">
        <v>153</v>
      </c>
      <c r="B69" s="157">
        <v>124390</v>
      </c>
      <c r="C69" s="165">
        <v>111890</v>
      </c>
      <c r="D69" s="49">
        <f>INDEX(Parameters!$D$79:$D$90,MATCH(Inputs!A69,Parameters!$C$79:$C$90,0))</f>
        <v>6</v>
      </c>
    </row>
    <row r="70" spans="1:48">
      <c r="A70" s="143" t="s">
        <v>154</v>
      </c>
      <c r="B70" s="157">
        <v>277380</v>
      </c>
      <c r="C70" s="165">
        <v>271749</v>
      </c>
      <c r="D70" s="49">
        <f>INDEX(Parameters!$D$79:$D$90,MATCH(Inputs!A70,Parameters!$C$79:$C$90,0))</f>
        <v>5</v>
      </c>
    </row>
    <row r="71" spans="1:48">
      <c r="A71" s="144" t="s">
        <v>98</v>
      </c>
      <c r="B71" s="158">
        <v>197930</v>
      </c>
      <c r="C71" s="167">
        <v>189999</v>
      </c>
      <c r="D71" s="49">
        <f>INDEX(Parameters!$D$79:$D$90,MATCH(Inputs!A71,Parameters!$C$79:$C$90,0))</f>
        <v>4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250000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15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73239.61617503528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1558539.03220475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360000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64500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171000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Carrots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43191</v>
      </c>
      <c r="D5" s="39">
        <f>IFERROR(DATE(YEAR(B5),MONTH(B5)+T5,DAY(B5)),"")</f>
        <v>43252</v>
      </c>
      <c r="E5" s="39">
        <f>IFERROR(IF($S5=0,"",IF($S5=2,DATE(YEAR(B5),MONTH(B5)+6,DAY(B5)),IF($S5=1,B5,""))),"")</f>
        <v>43313</v>
      </c>
      <c r="F5" s="39">
        <f>IFERROR(IF($S5=0,"",IF($S5=2,DATE(YEAR(C5),MONTH(C5)+6,DAY(C5)),IF($S5=1,C5,""))),"")</f>
        <v>43374</v>
      </c>
      <c r="G5" s="39">
        <f>IFERROR(IF($S5=0,"",IF($S5=2,DATE(YEAR(D5),MONTH(D5)+6,DAY(D5)),IF($S5=1,D5,""))),"")</f>
        <v>43435</v>
      </c>
      <c r="H5" s="16">
        <f>Inputs!C8</f>
        <v>6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80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6480.128209534681</v>
      </c>
      <c r="M5" s="30">
        <f>L5*H5</f>
        <v>38880.76925720809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2177323.078403653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62400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11400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114000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43191</v>
      </c>
      <c r="C6" s="39">
        <f>IFERROR(DATE(YEAR(B6),MONTH(B6)+ROUND(T6/2,0),DAY(B6)),B6)</f>
        <v>43191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65</v>
      </c>
      <c r="I6" s="138" t="str">
        <f>IFERROR(VLOOKUP(Inputs!E9,Parameters!$J$77:$K$81,2,0),"")</f>
        <v>No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120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450000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25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1.7</v>
      </c>
      <c r="H15" s="121">
        <f>IFERROR(IF(B15="meat",INDEX(Parameters!$A$22:$P$29,MATCH(Calculations!A15,Parameters!$A$22:$A$29,0),MATCH(Parameters!$I$22,Parameters!$A$22:$P$22,0))*G15,""),"")</f>
        <v>170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325833.3333333333</v>
      </c>
      <c r="Q15" s="64">
        <f>IFERROR(D15*INDEX(Parameters!$A$22:$P$29,MATCH(Calculations!$A15,Parameters!$A$22:$A$29,0),MATCH(Parameters!$L$22,Parameters!$A$22:$P$22,0))*IF(Inputs!I20="Always",1,IF(Inputs!I20="Sometimes",0.5,0))*365,"")</f>
        <v>456250</v>
      </c>
      <c r="R15" s="64">
        <f>IFERROR(D15*INDEX(Parameters!$A$22:$P$29,MATCH(Calculations!$A15,Parameters!$A$22:$A$29,0),MATCH(Parameters!$M$22,Parameters!$A$22:$P$22,0)),"")</f>
        <v>15000</v>
      </c>
      <c r="S15" s="64">
        <f>IFERROR(D15*INDEX(Parameters!$A$22:$P$29,MATCH(Calculations!$A15,Parameters!$A$22:$A$29,0),MATCH(Parameters!$N$22,Parameters!$A$22:$P$22,0)),"")</f>
        <v>17500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43050</v>
      </c>
      <c r="C33" s="27">
        <f>IF(B33&lt;&gt;"",IF(COUNT($A$33:A33)&lt;=$G$39,0,$G$41)+IF(COUNT($A$33:A33)&lt;=$G$40,0,$G$42),0)</f>
        <v>25000</v>
      </c>
      <c r="D33" s="170">
        <f>IFERROR(DATE(YEAR(B33),MONTH(B33),1)," ")</f>
        <v>43040</v>
      </c>
      <c r="F33" t="s">
        <v>160</v>
      </c>
      <c r="G33" s="128">
        <f>IF(Inputs!B79="","",DATE(YEAR(Inputs!B79),MONTH(Inputs!B79),DAY(Inputs!B79)))</f>
        <v>43019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43080</v>
      </c>
      <c r="C34" s="27">
        <f>IF(B34&lt;&gt;"",IF(COUNT($A$33:A34)&lt;=$G$39,0,$G$41)+IF(COUNT($A$33:A34)&lt;=$G$40,0,$G$42),0)</f>
        <v>25000</v>
      </c>
      <c r="D34" s="170">
        <f>IFERROR(DATE(YEAR(B34),MONTH(B34),1)," ")</f>
        <v>43070</v>
      </c>
      <c r="F34" t="s">
        <v>161</v>
      </c>
      <c r="G34" s="128">
        <f>IF(Inputs!B80="","",DATE(YEAR(Inputs!B80),MONTH(Inputs!B80),DAY(Inputs!B80)))</f>
        <v>43050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43111</v>
      </c>
      <c r="C35" s="27">
        <f>IF(B35&lt;&gt;"",IF(COUNT($A$33:A35)&lt;=$G$39,0,$G$41)+IF(COUNT($A$33:A35)&lt;=$G$40,0,$G$42),0)</f>
        <v>25000</v>
      </c>
      <c r="D35" s="170">
        <f>IFERROR(DATE(YEAR(B35),MONTH(B35),1)," ")</f>
        <v>43101</v>
      </c>
      <c r="F35" t="s">
        <v>163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43142</v>
      </c>
      <c r="C36" s="27">
        <f>IF(B36&lt;&gt;"",IF(COUNT($A$33:A36)&lt;=$G$39,0,$G$41)+IF(COUNT($A$33:A36)&lt;=$G$40,0,$G$42),0)</f>
        <v>25000</v>
      </c>
      <c r="D36" s="170">
        <f>IFERROR(DATE(YEAR(B36),MONTH(B36),1)," ")</f>
        <v>43132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43170</v>
      </c>
      <c r="C37" s="27">
        <f>IF(B37&lt;&gt;"",IF(COUNT($A$33:A37)&lt;=$G$39,0,$G$41)+IF(COUNT($A$33:A37)&lt;=$G$40,0,$G$42),0)</f>
        <v>25000</v>
      </c>
      <c r="D37" s="170">
        <f>IFERROR(DATE(YEAR(B37),MONTH(B37),1)," ")</f>
        <v>43160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43201</v>
      </c>
      <c r="C38" s="27">
        <f>IF(B38&lt;&gt;"",IF(COUNT($A$33:A38)&lt;=$G$39,0,$G$41)+IF(COUNT($A$33:A38)&lt;=$G$40,0,$G$42),0)</f>
        <v>25000</v>
      </c>
      <c r="D38" s="170">
        <f>IFERROR(DATE(YEAR(B38),MONTH(B38),1)," ")</f>
        <v>43191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43231</v>
      </c>
      <c r="C39" s="27">
        <f>IF(B39&lt;&gt;"",IF(COUNT($A$33:A39)&lt;=$G$39,0,$G$41)+IF(COUNT($A$33:A39)&lt;=$G$40,0,$G$42),0)</f>
        <v>25000</v>
      </c>
      <c r="D39" s="170">
        <f>IFERROR(DATE(YEAR(B39),MONTH(B39),1)," ")</f>
        <v>43221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43262</v>
      </c>
      <c r="C40" s="27">
        <f>IF(B40&lt;&gt;"",IF(COUNT($A$33:A40)&lt;=$G$39,0,$G$41)+IF(COUNT($A$33:A40)&lt;=$G$40,0,$G$42),0)</f>
        <v>25000</v>
      </c>
      <c r="D40" s="170">
        <f>IFERROR(DATE(YEAR(B40),MONTH(B40),1)," ")</f>
        <v>43252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43292</v>
      </c>
      <c r="C41" s="27">
        <f>IF(B41&lt;&gt;"",IF(COUNT($A$33:A41)&lt;=$G$39,0,$G$41)+IF(COUNT($A$33:A41)&lt;=$G$40,0,$G$42),0)</f>
        <v>25000</v>
      </c>
      <c r="D41" s="170">
        <f>IFERROR(DATE(YEAR(B41),MONTH(B41),1)," ")</f>
        <v>43282</v>
      </c>
      <c r="F41" t="s">
        <v>227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43323</v>
      </c>
      <c r="C42" s="27">
        <f>IF(B42&lt;&gt;"",IF(COUNT($A$33:A42)&lt;=$G$39,0,$G$41)+IF(COUNT($A$33:A42)&lt;=$G$40,0,$G$42),0)</f>
        <v>25000</v>
      </c>
      <c r="D42" s="170">
        <f>IFERROR(DATE(YEAR(B42),MONTH(B42),1)," ")</f>
        <v>43313</v>
      </c>
      <c r="F42" t="s">
        <v>228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43354</v>
      </c>
      <c r="C43" s="27">
        <f>IF(B43&lt;&gt;"",IF(COUNT($A$33:A43)&lt;=$G$39,0,$G$41)+IF(COUNT($A$33:A43)&lt;=$G$40,0,$G$42),0)</f>
        <v>25000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43384</v>
      </c>
      <c r="C44" s="27">
        <f>IF(B44&lt;&gt;"",IF(COUNT($A$33:A44)&lt;=$G$39,0,$G$41)+IF(COUNT($A$33:A44)&lt;=$G$40,0,$G$42),0)</f>
        <v>25000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95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201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114</v>
      </c>
      <c r="B26" s="16" t="s">
        <v>295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112</v>
      </c>
      <c r="B28" s="71" t="s">
        <v>295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295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100</v>
      </c>
      <c r="B41" s="191" t="s">
        <v>93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114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112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311</v>
      </c>
      <c r="H52" s="12" t="s">
        <v>132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229</v>
      </c>
      <c r="E53" s="10" t="s">
        <v>188</v>
      </c>
      <c r="F53" s="10" t="s">
        <v>248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166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225</v>
      </c>
      <c r="J76" s="11" t="s">
        <v>345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93</v>
      </c>
      <c r="F77" s="12" t="s">
        <v>93</v>
      </c>
      <c r="G77" s="12" t="s">
        <v>113</v>
      </c>
      <c r="H77" s="12" t="s">
        <v>132</v>
      </c>
      <c r="I77" s="12" t="s">
        <v>347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312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115</v>
      </c>
      <c r="I79" s="12" t="s">
        <v>166</v>
      </c>
      <c r="J79" s="70" t="s">
        <v>97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98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