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<sst xmlns="http://schemas.openxmlformats.org/spreadsheetml/2006/main" uniqueCount="369">
  <si>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</si>
  <si>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</si>
  <si>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</si>
  <si>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</si>
  <si>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</si>
  <si>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</si>
  <si>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</si>
  <si>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</si>
  <si>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</si>
  <si>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</si>
  <si>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</si>
  <si>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</si>
  <si>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</si>
  <si>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</si>
  <si>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</si>
  <si>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</si>
  <si>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</si>
  <si>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</si>
  <si>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</si>
  <si>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</si>
  <si>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</si>
  <si>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</si>
  <si>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</si>
  <si>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</si>
  <si>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</si>
  <si>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</si>
  <si>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</si>
  <si>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</si>
  <si>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</si>
  <si>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</si>
  <si>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</si>
  <si>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</si>
  <si>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</si>
  <si>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</si>
  <si>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</si>
  <si>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</si>
  <si>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</si>
  <si>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</si>
  <si>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</si>
  <si>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</si>
  <si>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</si>
  <si>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</si>
  <si>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</si>
  <si>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</si>
  <si>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</si>
  <si>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</si>
  <si>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</si>
  <si>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</si>
  <si>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</si>
  <si>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</si>
  <si>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</si>
  <si>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</si>
  <si>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</si>
  <si>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</si>
  <si>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</si>
  <si>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</si>
  <si>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</si>
  <si>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</si>
  <si>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</si>
  <si>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</si>
  <si>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</si>
  <si>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</si>
  <si>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</si>
  <si>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</si>
  <si>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</si>
  <si>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</si>
  <si>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</si>
  <si>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</si>
  <si>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</si>
  <si>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</si>
  <si>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</si>
  <si>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</si>
  <si>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</si>
  <si>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</si>
  <si>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</si>
  <si>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</si>
  <si>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</si>
  <si>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</si>
  <si>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</si>
  <si>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</si>
  <si>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</si>
  <si>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</si>
  <si>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</si>
  <si>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</si>
  <si>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</si>
  <si>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</si>
  <si>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</si>
  <si>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</si>
  <si>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</si>
  <si>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</si>
  <si>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</si>
  <si>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</si>
  <si>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</si>
  <si>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</si>
  <si>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December</t>
  </si>
  <si>
    <t>Other crops</t>
  </si>
  <si>
    <t>Wheat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</si>
  <si>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</si>
  <si>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</si>
  <si>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</si>
  <si>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</si>
  <si>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</si>
  <si>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</si>
  <si>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</si>
  <si>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</si>
  <si>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</si>
  <si>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</si>
  <si>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</si>
  <si>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</si>
  <si>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</si>
  <si>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</si>
  <si>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</si>
  <si>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</si>
  <si>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</si>
  <si>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</si>
  <si>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</si>
  <si>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</si>
  <si>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</si>
  <si>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</si>
  <si>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</si>
  <si>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</si>
  <si>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</si>
  <si>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</si>
  <si>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</si>
  <si>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</si>
  <si>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</si>
  <si>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</si>
  <si>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</si>
  <si>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</si>
  <si>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</si>
  <si>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</si>
  <si>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</si>
  <si>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</si>
  <si>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</si>
  <si>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</si>
  <si>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</si>
  <si>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</si>
  <si>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</si>
  <si>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</si>
  <si>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</si>
  <si>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</si>
  <si>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</si>
  <si>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</si>
  <si>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</si>
  <si>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</si>
  <si>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</si>
  <si>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</si>
  <si>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</si>
  <si>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3/14/2017</t>
  </si>
  <si>
    <t>Mkopa</t>
  </si>
  <si>
    <t>No arrears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</si>
  <si>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</si>
  <si>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</si>
  <si>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</si>
  <si>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</si>
  <si>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</si>
  <si>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</si>
  <si>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</si>
  <si>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</si>
  <si>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</si>
  <si>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</si>
  <si>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</si>
  <si>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2017/10/11</t>
  </si>
  <si>
    <t>Loan terms</t>
  </si>
  <si>
    <t>Expected disbursement date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</si>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</sst>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Wheat,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0.1573732893405026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0.006689315485531754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592168.2665541193</v>
      </c>
    </row>
    <row r="18" spans="1:7">
      <c r="B18" s="1" t="s">
        <v>12</v>
      </c>
      <c r="C18" s="36">
        <f>MIN(Output!B6:M6)</f>
        <v>-279376.6721703315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770229.6070104318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22999</v>
      </c>
    </row>
    <row r="25" spans="1:7">
      <c r="B25" s="1" t="s">
        <v>18</v>
      </c>
      <c r="C25" s="36">
        <f>MAX(Inputs!A56:A60)</f>
        <v>22999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68115.64813910716</v>
      </c>
      <c r="C6" s="51">
        <f>C30-C88</f>
        <v>-45712.67217033154</v>
      </c>
      <c r="D6" s="51">
        <f>D30-D88</f>
        <v>-150376.6721703315</v>
      </c>
      <c r="E6" s="51">
        <f>E30-E88</f>
        <v>-279376.6721703315</v>
      </c>
      <c r="F6" s="51">
        <f>F30-F88</f>
        <v>-71576.67217033154</v>
      </c>
      <c r="G6" s="51">
        <f>G30-G88</f>
        <v>768621.2288192787</v>
      </c>
      <c r="H6" s="51">
        <f>H30-H88</f>
        <v>70349.95050087653</v>
      </c>
      <c r="I6" s="51">
        <f>I30-I88</f>
        <v>-43478.36980856219</v>
      </c>
      <c r="J6" s="51">
        <f>J30-J88</f>
        <v>-148142.3698085622</v>
      </c>
      <c r="K6" s="51">
        <f>K30-K88</f>
        <v>-277142.3698085622</v>
      </c>
      <c r="L6" s="51">
        <f>L30-L88</f>
        <v>-69342.36980856217</v>
      </c>
      <c r="M6" s="51">
        <f>M30-M88</f>
        <v>770229.6070104318</v>
      </c>
      <c r="N6" s="51">
        <f>N30-N88</f>
        <v>70349.95050087653</v>
      </c>
      <c r="O6" s="51">
        <f>O30-O88</f>
        <v>-43478.36980856219</v>
      </c>
      <c r="P6" s="51">
        <f>P30-P88</f>
        <v>-148142.3698085622</v>
      </c>
      <c r="Q6" s="51">
        <f>Q30-Q88</f>
        <v>-277142.3698085622</v>
      </c>
      <c r="R6" s="51">
        <f>R30-R88</f>
        <v>-69342.36980856217</v>
      </c>
      <c r="S6" s="51">
        <f>S30-S88</f>
        <v>770229.6070104318</v>
      </c>
      <c r="T6" s="51">
        <f>T30-T88</f>
        <v>257849.9505008765</v>
      </c>
      <c r="U6" s="51">
        <f>U30-U88</f>
        <v>-43478.36980856219</v>
      </c>
      <c r="V6" s="51">
        <f>V30-V88</f>
        <v>-148142.3698085622</v>
      </c>
      <c r="W6" s="51">
        <f>W30-W88</f>
        <v>-277142.3698085622</v>
      </c>
      <c r="X6" s="51">
        <f>X30-X88</f>
        <v>-69342.36980856217</v>
      </c>
      <c r="Y6" s="51">
        <f>Y30-Y88</f>
        <v>770229.6070104318</v>
      </c>
      <c r="Z6" s="51">
        <f>SUMIF($B$13:$Y$13,"Yes",B6:Y6)</f>
        <v>662518.2170549958</v>
      </c>
      <c r="AA6" s="51">
        <f>AA30-AA88</f>
        <v>592168.2665541191</v>
      </c>
      <c r="AB6" s="51">
        <f>AB30-AB88</f>
        <v>1384616.423108239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42510</v>
      </c>
      <c r="I7" s="80">
        <f>IF(ISERROR(VLOOKUP(MONTH(I5),Inputs!$D$66:$D$71,1,0)),"",INDEX(Inputs!$B$66:$B$71,MATCH(MONTH(Output!I5),Inputs!$D$66:$D$71,0))-INDEX(Inputs!$C$66:$C$71,MATCH(MONTH(Output!I5),Inputs!$D$66:$D$71,0)))</f>
        <v>1200</v>
      </c>
      <c r="J7" s="80">
        <f>IF(ISERROR(VLOOKUP(MONTH(J5),Inputs!$D$66:$D$71,1,0)),"",INDEX(Inputs!$B$66:$B$71,MATCH(MONTH(Output!J5),Inputs!$D$66:$D$71,0))-INDEX(Inputs!$C$66:$C$71,MATCH(MONTH(Output!J5),Inputs!$D$66:$D$71,0)))</f>
        <v>11240</v>
      </c>
      <c r="K7" s="80">
        <f>IF(ISERROR(VLOOKUP(MONTH(K5),Inputs!$D$66:$D$71,1,0)),"",INDEX(Inputs!$B$66:$B$71,MATCH(MONTH(Output!K5),Inputs!$D$66:$D$71,0))-INDEX(Inputs!$C$66:$C$71,MATCH(MONTH(Output!K5),Inputs!$D$66:$D$71,0)))</f>
        <v>4810</v>
      </c>
      <c r="L7" s="80">
        <f>IF(ISERROR(VLOOKUP(MONTH(L5),Inputs!$D$66:$D$71,1,0)),"",INDEX(Inputs!$B$66:$B$71,MATCH(MONTH(Output!L5),Inputs!$D$66:$D$71,0))-INDEX(Inputs!$C$66:$C$71,MATCH(MONTH(Output!L5),Inputs!$D$66:$D$71,0)))</f>
        <v>6850</v>
      </c>
      <c r="M7" s="80">
        <f>IF(ISERROR(VLOOKUP(MONTH(M5),Inputs!$D$66:$D$71,1,0)),"",INDEX(Inputs!$B$66:$B$71,MATCH(MONTH(Output!M5),Inputs!$D$66:$D$71,0))-INDEX(Inputs!$C$66:$C$71,MATCH(MONTH(Output!M5),Inputs!$D$66:$D$71,0)))</f>
        <v>4520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42510</v>
      </c>
      <c r="U7" s="80">
        <f>IF(ISERROR(VLOOKUP(MONTH(U5),Inputs!$D$66:$D$71,1,0)),"",INDEX(Inputs!$B$66:$B$71,MATCH(MONTH(Output!U5),Inputs!$D$66:$D$71,0))-INDEX(Inputs!$C$66:$C$71,MATCH(MONTH(Output!U5),Inputs!$D$66:$D$71,0)))</f>
        <v>1200</v>
      </c>
      <c r="V7" s="80">
        <f>IF(ISERROR(VLOOKUP(MONTH(V5),Inputs!$D$66:$D$71,1,0)),"",INDEX(Inputs!$B$66:$B$71,MATCH(MONTH(Output!V5),Inputs!$D$66:$D$71,0))-INDEX(Inputs!$C$66:$C$71,MATCH(MONTH(Output!V5),Inputs!$D$66:$D$71,0)))</f>
        <v>11240</v>
      </c>
      <c r="W7" s="80">
        <f>IF(ISERROR(VLOOKUP(MONTH(W5),Inputs!$D$66:$D$71,1,0)),"",INDEX(Inputs!$B$66:$B$71,MATCH(MONTH(Output!W5),Inputs!$D$66:$D$71,0))-INDEX(Inputs!$C$66:$C$71,MATCH(MONTH(Output!W5),Inputs!$D$66:$D$71,0)))</f>
        <v>4810</v>
      </c>
      <c r="X7" s="80">
        <f>IF(ISERROR(VLOOKUP(MONTH(X5),Inputs!$D$66:$D$71,1,0)),"",INDEX(Inputs!$B$66:$B$71,MATCH(MONTH(Output!X5),Inputs!$D$66:$D$71,0))-INDEX(Inputs!$C$66:$C$71,MATCH(MONTH(Output!X5),Inputs!$D$66:$D$71,0)))</f>
        <v>6850</v>
      </c>
      <c r="Y7" s="80">
        <f>IF(ISERROR(VLOOKUP(MONTH(Y5),Inputs!$D$66:$D$71,1,0)),"",INDEX(Inputs!$B$66:$B$71,MATCH(MONTH(Output!Y5),Inputs!$D$66:$D$71,0))-INDEX(Inputs!$C$66:$C$71,MATCH(MONTH(Output!Y5),Inputs!$D$66:$D$71,0)))</f>
        <v>4520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168115.6481391072</v>
      </c>
      <c r="C11" s="80">
        <f>C6+C9-C10</f>
        <v>-55712.67217033154</v>
      </c>
      <c r="D11" s="80">
        <f>D6+D9-D10</f>
        <v>-160376.6721703315</v>
      </c>
      <c r="E11" s="80">
        <f>E6+E9-E10</f>
        <v>-289376.6721703315</v>
      </c>
      <c r="F11" s="80">
        <f>F6+F9-F10</f>
        <v>-81576.67217033154</v>
      </c>
      <c r="G11" s="80">
        <f>G6+G9-G10</f>
        <v>758621.2288192787</v>
      </c>
      <c r="H11" s="80">
        <f>H6+H9-H10</f>
        <v>60349.95050087653</v>
      </c>
      <c r="I11" s="80">
        <f>I6+I9-I10</f>
        <v>-53478.36980856219</v>
      </c>
      <c r="J11" s="80">
        <f>J6+J9-J10</f>
        <v>-158142.3698085622</v>
      </c>
      <c r="K11" s="80">
        <f>K6+K9-K10</f>
        <v>-287142.3698085622</v>
      </c>
      <c r="L11" s="80">
        <f>L6+L9-L10</f>
        <v>-79342.36980856217</v>
      </c>
      <c r="M11" s="80">
        <f>M6+M9-M10</f>
        <v>760229.6070104318</v>
      </c>
      <c r="N11" s="80">
        <f>N6+N9-N10</f>
        <v>60349.95050087653</v>
      </c>
      <c r="O11" s="80">
        <f>O6+O9-O10</f>
        <v>-43478.36980856219</v>
      </c>
      <c r="P11" s="80">
        <f>P6+P9-P10</f>
        <v>-148142.3698085622</v>
      </c>
      <c r="Q11" s="80">
        <f>Q6+Q9-Q10</f>
        <v>-277142.3698085622</v>
      </c>
      <c r="R11" s="80">
        <f>R6+R9-R10</f>
        <v>-69342.36980856217</v>
      </c>
      <c r="S11" s="80">
        <f>S6+S9-S10</f>
        <v>770229.6070104318</v>
      </c>
      <c r="T11" s="80">
        <f>T6+T9-T10</f>
        <v>257849.9505008765</v>
      </c>
      <c r="U11" s="80">
        <f>U6+U9-U10</f>
        <v>-43478.36980856219</v>
      </c>
      <c r="V11" s="80">
        <f>V6+V9-V10</f>
        <v>-148142.3698085622</v>
      </c>
      <c r="W11" s="80">
        <f>W6+W9-W10</f>
        <v>-277142.3698085622</v>
      </c>
      <c r="X11" s="80">
        <f>X6+X9-X10</f>
        <v>-69342.36980856217</v>
      </c>
      <c r="Y11" s="80">
        <f>Y6+Y9-Y10</f>
        <v>770229.6070104318</v>
      </c>
      <c r="Z11" s="85">
        <f>SUMIF($B$13:$Y$13,"Yes",B11:Y11)</f>
        <v>642518.2170549958</v>
      </c>
      <c r="AA11" s="80">
        <f>SUM(B11:M11)</f>
        <v>582168.2665541193</v>
      </c>
      <c r="AB11" s="46">
        <f>SUM(B11:Y11)</f>
        <v>1364616.423108239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0.0816973600588841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0.1283057369191548</v>
      </c>
      <c r="H12" s="82">
        <f>IF(H13="Yes",IF(SUM($B$10:H10)/(SUM($B$6:H6)+SUM($B$9:H9))&lt;0,999.99,SUM($B$10:H10)/(SUM($B$6:H6)+SUM($B$9:H9))),"")</f>
        <v>0.1304222680879803</v>
      </c>
      <c r="I12" s="82">
        <f>IF(I13="Yes",IF(SUM($B$10:I10)/(SUM($B$6:I6)+SUM($B$9:I9))&lt;0,999.99,SUM($B$10:I10)/(SUM($B$6:I6)+SUM($B$9:I9))),"")</f>
        <v>0.1680406918052511</v>
      </c>
      <c r="J12" s="82">
        <f>IF(J13="Yes",IF(SUM($B$10:J10)/(SUM($B$6:J6)+SUM($B$9:J9))&lt;0,999.99,SUM($B$10:J10)/(SUM($B$6:J6)+SUM($B$9:J9))),"")</f>
        <v>0.2980366102586764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0.1589208944056659</v>
      </c>
      <c r="N12" s="82">
        <f>IF(N13="Yes",IF(SUM($B$10:N10)/(SUM($B$6:N6)+SUM($B$9:N9))&lt;0,999.99,SUM($B$10:N10)/(SUM($B$6:N6)+SUM($B$9:N9))),"")</f>
        <v>0.1573732893405026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218742.3203094387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218742.3203094387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218742.3203094387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218742.3203094387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656226.960928316</v>
      </c>
      <c r="AA18" s="36">
        <f>SUM(B18:M18)</f>
        <v>437484.6406188774</v>
      </c>
      <c r="AB18" s="36">
        <f>SUM(B18:Y18)</f>
        <v>874969.2812377547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Wheat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822371.976818994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822371.976818994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822371.976818994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822371.976818994</v>
      </c>
      <c r="Z20" s="36">
        <f>SUMIF($B$13:$Y$13,"Yes",B20:Y20)</f>
        <v>1644743.953637988</v>
      </c>
      <c r="AA20" s="36">
        <f>SUM(B20:M20)</f>
        <v>1644743.953637988</v>
      </c>
      <c r="AB20" s="36">
        <f>SUM(B20:Y20)</f>
        <v>3289487.907275976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89200.00000000001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5111.111111111111</v>
      </c>
      <c r="C25" s="36">
        <f>IFERROR(Calculations!$P15/12,"")</f>
        <v>5111.111111111111</v>
      </c>
      <c r="D25" s="36">
        <f>IFERROR(Calculations!$P15/12,"")</f>
        <v>5111.111111111111</v>
      </c>
      <c r="E25" s="36">
        <f>IFERROR(Calculations!$P15/12,"")</f>
        <v>5111.111111111111</v>
      </c>
      <c r="F25" s="36">
        <f>IFERROR(Calculations!$P15/12,"")</f>
        <v>5111.111111111111</v>
      </c>
      <c r="G25" s="36">
        <f>IFERROR(Calculations!$P15/12,"")</f>
        <v>5111.111111111111</v>
      </c>
      <c r="H25" s="36">
        <f>IFERROR(Calculations!$P15/12,"")</f>
        <v>5111.111111111111</v>
      </c>
      <c r="I25" s="36">
        <f>IFERROR(Calculations!$P15/12,"")</f>
        <v>5111.111111111111</v>
      </c>
      <c r="J25" s="36">
        <f>IFERROR(Calculations!$P15/12,"")</f>
        <v>5111.111111111111</v>
      </c>
      <c r="K25" s="36">
        <f>IFERROR(Calculations!$P15/12,"")</f>
        <v>5111.111111111111</v>
      </c>
      <c r="L25" s="36">
        <f>IFERROR(Calculations!$P15/12,"")</f>
        <v>5111.111111111111</v>
      </c>
      <c r="M25" s="36">
        <f>IFERROR(Calculations!$P15/12,"")</f>
        <v>5111.111111111111</v>
      </c>
      <c r="N25" s="36">
        <f>IFERROR(Calculations!$P15/12,"")</f>
        <v>5111.111111111111</v>
      </c>
      <c r="O25" s="36">
        <f>IFERROR(Calculations!$P15/12,"")</f>
        <v>5111.111111111111</v>
      </c>
      <c r="P25" s="36">
        <f>IFERROR(Calculations!$P15/12,"")</f>
        <v>5111.111111111111</v>
      </c>
      <c r="Q25" s="36">
        <f>IFERROR(Calculations!$P15/12,"")</f>
        <v>5111.111111111111</v>
      </c>
      <c r="R25" s="36">
        <f>IFERROR(Calculations!$P15/12,"")</f>
        <v>5111.111111111111</v>
      </c>
      <c r="S25" s="36">
        <f>IFERROR(Calculations!$P15/12,"")</f>
        <v>5111.111111111111</v>
      </c>
      <c r="T25" s="36">
        <f>IFERROR(Calculations!$P15/12,"")</f>
        <v>5111.111111111111</v>
      </c>
      <c r="U25" s="36">
        <f>IFERROR(Calculations!$P15/12,"")</f>
        <v>5111.111111111111</v>
      </c>
      <c r="V25" s="36">
        <f>IFERROR(Calculations!$P15/12,"")</f>
        <v>5111.111111111111</v>
      </c>
      <c r="W25" s="36">
        <f>IFERROR(Calculations!$P15/12,"")</f>
        <v>5111.111111111111</v>
      </c>
      <c r="X25" s="36">
        <f>IFERROR(Calculations!$P15/12,"")</f>
        <v>5111.111111111111</v>
      </c>
      <c r="Y25" s="36">
        <f>IFERROR(Calculations!$P15/12,"")</f>
        <v>5111.111111111111</v>
      </c>
      <c r="Z25" s="36">
        <f>SUMIF($B$13:$Y$13,"Yes",B25:Y25)</f>
        <v>66444.44444444444</v>
      </c>
      <c r="AA25" s="36">
        <f>SUM(B25:M25)</f>
        <v>61333.33333333332</v>
      </c>
      <c r="AB25" s="46">
        <f>SUM(B25:Y25)</f>
        <v>122666.6666666666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7812.5</v>
      </c>
      <c r="C26" s="36">
        <f>IFERROR(Calculations!$P16/12,"")</f>
        <v>7812.5</v>
      </c>
      <c r="D26" s="36">
        <f>IFERROR(Calculations!$P16/12,"")</f>
        <v>7812.5</v>
      </c>
      <c r="E26" s="36">
        <f>IFERROR(Calculations!$P16/12,"")</f>
        <v>7812.5</v>
      </c>
      <c r="F26" s="36">
        <f>IFERROR(Calculations!$P16/12,"")</f>
        <v>7812.5</v>
      </c>
      <c r="G26" s="36">
        <f>IFERROR(Calculations!$P16/12,"")</f>
        <v>7812.5</v>
      </c>
      <c r="H26" s="36">
        <f>IFERROR(Calculations!$P16/12,"")</f>
        <v>7812.5</v>
      </c>
      <c r="I26" s="36">
        <f>IFERROR(Calculations!$P16/12,"")</f>
        <v>7812.5</v>
      </c>
      <c r="J26" s="36">
        <f>IFERROR(Calculations!$P16/12,"")</f>
        <v>7812.5</v>
      </c>
      <c r="K26" s="36">
        <f>IFERROR(Calculations!$P16/12,"")</f>
        <v>7812.5</v>
      </c>
      <c r="L26" s="36">
        <f>IFERROR(Calculations!$P16/12,"")</f>
        <v>7812.5</v>
      </c>
      <c r="M26" s="36">
        <f>IFERROR(Calculations!$P16/12,"")</f>
        <v>7812.5</v>
      </c>
      <c r="N26" s="36">
        <f>IFERROR(Calculations!$P16/12,"")</f>
        <v>7812.5</v>
      </c>
      <c r="O26" s="36">
        <f>IFERROR(Calculations!$P16/12,"")</f>
        <v>7812.5</v>
      </c>
      <c r="P26" s="36">
        <f>IFERROR(Calculations!$P16/12,"")</f>
        <v>7812.5</v>
      </c>
      <c r="Q26" s="36">
        <f>IFERROR(Calculations!$P16/12,"")</f>
        <v>7812.5</v>
      </c>
      <c r="R26" s="36">
        <f>IFERROR(Calculations!$P16/12,"")</f>
        <v>7812.5</v>
      </c>
      <c r="S26" s="36">
        <f>IFERROR(Calculations!$P16/12,"")</f>
        <v>7812.5</v>
      </c>
      <c r="T26" s="36">
        <f>IFERROR(Calculations!$P16/12,"")</f>
        <v>7812.5</v>
      </c>
      <c r="U26" s="36">
        <f>IFERROR(Calculations!$P16/12,"")</f>
        <v>7812.5</v>
      </c>
      <c r="V26" s="36">
        <f>IFERROR(Calculations!$P16/12,"")</f>
        <v>7812.5</v>
      </c>
      <c r="W26" s="36">
        <f>IFERROR(Calculations!$P16/12,"")</f>
        <v>7812.5</v>
      </c>
      <c r="X26" s="36">
        <f>IFERROR(Calculations!$P16/12,"")</f>
        <v>7812.5</v>
      </c>
      <c r="Y26" s="36">
        <f>IFERROR(Calculations!$P16/12,"")</f>
        <v>7812.5</v>
      </c>
      <c r="Z26" s="36">
        <f>SUMIF($B$13:$Y$13,"Yes",B26:Y26)</f>
        <v>101562.5</v>
      </c>
      <c r="AA26" s="36">
        <f>SUM(B26:M26)</f>
        <v>93750</v>
      </c>
      <c r="AB26" s="46">
        <f>SUM(B26:Y26)</f>
        <v>187500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187500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187500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298603.4314205498</v>
      </c>
      <c r="C30" s="19">
        <f>SUM(C18:C29)</f>
        <v>79861.11111111111</v>
      </c>
      <c r="D30" s="19">
        <f>SUM(D18:D29)</f>
        <v>79861.11111111111</v>
      </c>
      <c r="E30" s="19">
        <f>SUM(E18:E29)</f>
        <v>79861.11111111111</v>
      </c>
      <c r="F30" s="19">
        <f>SUM(F18:F29)</f>
        <v>79861.11111111111</v>
      </c>
      <c r="G30" s="19">
        <f>SUM(G18:G29)</f>
        <v>902233.0879301052</v>
      </c>
      <c r="H30" s="19">
        <f>SUM(H18:H29)</f>
        <v>298603.4314205498</v>
      </c>
      <c r="I30" s="19">
        <f>SUM(I18:I29)</f>
        <v>79861.11111111111</v>
      </c>
      <c r="J30" s="19">
        <f>SUM(J18:J29)</f>
        <v>79861.11111111111</v>
      </c>
      <c r="K30" s="19">
        <f>SUM(K18:K29)</f>
        <v>79861.11111111111</v>
      </c>
      <c r="L30" s="19">
        <f>SUM(L18:L29)</f>
        <v>79861.11111111111</v>
      </c>
      <c r="M30" s="19">
        <f>SUM(M18:M29)</f>
        <v>902233.0879301052</v>
      </c>
      <c r="N30" s="19">
        <f>SUM(N18:N29)</f>
        <v>298603.4314205498</v>
      </c>
      <c r="O30" s="19">
        <f>SUM(O18:O29)</f>
        <v>79861.11111111111</v>
      </c>
      <c r="P30" s="19">
        <f>SUM(P18:P29)</f>
        <v>79861.11111111111</v>
      </c>
      <c r="Q30" s="19">
        <f>SUM(Q18:Q29)</f>
        <v>79861.11111111111</v>
      </c>
      <c r="R30" s="19">
        <f>SUM(R18:R29)</f>
        <v>79861.11111111111</v>
      </c>
      <c r="S30" s="19">
        <f>SUM(S18:S29)</f>
        <v>902233.0879301052</v>
      </c>
      <c r="T30" s="19">
        <f>SUM(T18:T29)</f>
        <v>486103.4314205498</v>
      </c>
      <c r="U30" s="19">
        <f>SUM(U18:U29)</f>
        <v>79861.11111111111</v>
      </c>
      <c r="V30" s="19">
        <f>SUM(V18:V29)</f>
        <v>79861.11111111111</v>
      </c>
      <c r="W30" s="19">
        <f>SUM(W18:W29)</f>
        <v>79861.11111111111</v>
      </c>
      <c r="X30" s="19">
        <f>SUM(X18:X29)</f>
        <v>79861.11111111111</v>
      </c>
      <c r="Y30" s="19">
        <f>SUM(Y18:Y29)</f>
        <v>902233.0879301052</v>
      </c>
      <c r="Z30" s="19">
        <f>SUMIF($B$13:$Y$13,"Yes",B30:Y30)</f>
        <v>3339165.359010748</v>
      </c>
      <c r="AA30" s="19">
        <f>SUM(B30:M30)</f>
        <v>3040561.927590198</v>
      </c>
      <c r="AB30" s="19">
        <f>SUM(B30:Y30)</f>
        <v>6268623.855180396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Wheat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96250</v>
      </c>
      <c r="C42" s="36">
        <f>O42</f>
        <v>0</v>
      </c>
      <c r="D42" s="36">
        <f>P42</f>
        <v>96000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96250</v>
      </c>
      <c r="I42" s="36">
        <f>U42</f>
        <v>0</v>
      </c>
      <c r="J42" s="36">
        <f>V42</f>
        <v>96000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96250</v>
      </c>
      <c r="O42" s="36">
        <f>SUM(O43:O47)</f>
        <v>0</v>
      </c>
      <c r="P42" s="36">
        <f>SUM(P43:P47)</f>
        <v>96000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96250</v>
      </c>
      <c r="U42" s="36">
        <f>SUM(U43:U47)</f>
        <v>0</v>
      </c>
      <c r="V42" s="36">
        <f>SUM(V43:V47)</f>
        <v>96000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480750</v>
      </c>
      <c r="AA42" s="36">
        <f>SUM(B42:M42)</f>
        <v>384500</v>
      </c>
      <c r="AB42" s="36">
        <f>SUM(B42:Y42)</f>
        <v>769000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96000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96000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96000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96000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Wheat</v>
      </c>
      <c r="B45" s="36">
        <f>N45</f>
        <v>96250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96250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96250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96250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288750</v>
      </c>
      <c r="AA45" s="36">
        <f>SUM(B45:M45)</f>
        <v>192500</v>
      </c>
      <c r="AB45" s="36">
        <f>SUM(B45:Y45)</f>
        <v>385000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225000</v>
      </c>
      <c r="F48" s="36">
        <f>R48</f>
        <v>17200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225000</v>
      </c>
      <c r="L48" s="36">
        <f>X48</f>
        <v>17200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225000</v>
      </c>
      <c r="R48" s="46">
        <f>SUM(R49:R53)</f>
        <v>17200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225000</v>
      </c>
      <c r="X48" s="46">
        <f>SUM(X49:X53)</f>
        <v>17200</v>
      </c>
      <c r="Y48" s="46">
        <f>SUM(Y49:Y53)</f>
        <v>0</v>
      </c>
      <c r="Z48" s="46">
        <f>SUMIF($B$13:$Y$13,"Yes",B48:Y48)</f>
        <v>484400</v>
      </c>
      <c r="AA48" s="46">
        <f>SUM(B48:M48)</f>
        <v>484400</v>
      </c>
      <c r="AB48" s="46">
        <f>SUM(B48:Y48)</f>
        <v>968800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17200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17200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17200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17200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225000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225000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225000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225000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450000</v>
      </c>
      <c r="AA51" s="46">
        <f>SUM(B51:M51)</f>
        <v>450000</v>
      </c>
      <c r="AB51" s="46">
        <f>SUM(B51:Y51)</f>
        <v>900000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65070.25</v>
      </c>
      <c r="C66" s="36">
        <f>O66</f>
        <v>56406.25</v>
      </c>
      <c r="D66" s="36">
        <f>P66</f>
        <v>65070.25</v>
      </c>
      <c r="E66" s="36">
        <f>Q66</f>
        <v>65070.25</v>
      </c>
      <c r="F66" s="36">
        <f>R66</f>
        <v>65070.25</v>
      </c>
      <c r="G66" s="36">
        <f>S66</f>
        <v>65070.25</v>
      </c>
      <c r="H66" s="36">
        <f>T66</f>
        <v>65070.25</v>
      </c>
      <c r="I66" s="36">
        <f>U66</f>
        <v>56406.25</v>
      </c>
      <c r="J66" s="36">
        <f>V66</f>
        <v>65070.25</v>
      </c>
      <c r="K66" s="36">
        <f>W66</f>
        <v>65070.25</v>
      </c>
      <c r="L66" s="36">
        <f>X66</f>
        <v>65070.25</v>
      </c>
      <c r="M66" s="36">
        <f>Y66</f>
        <v>65070.25</v>
      </c>
      <c r="N66" s="46">
        <f>SUM(N67:N71)</f>
        <v>65070.25</v>
      </c>
      <c r="O66" s="46">
        <f>SUM(O67:O71)</f>
        <v>56406.25</v>
      </c>
      <c r="P66" s="46">
        <f>SUM(P67:P71)</f>
        <v>65070.25</v>
      </c>
      <c r="Q66" s="46">
        <f>SUM(Q67:Q71)</f>
        <v>65070.25</v>
      </c>
      <c r="R66" s="46">
        <f>SUM(R67:R71)</f>
        <v>65070.25</v>
      </c>
      <c r="S66" s="46">
        <f>SUM(S67:S71)</f>
        <v>65070.25</v>
      </c>
      <c r="T66" s="46">
        <f>SUM(T67:T71)</f>
        <v>65070.25</v>
      </c>
      <c r="U66" s="46">
        <f>SUM(U67:U71)</f>
        <v>56406.25</v>
      </c>
      <c r="V66" s="46">
        <f>SUM(V67:V71)</f>
        <v>65070.25</v>
      </c>
      <c r="W66" s="46">
        <f>SUM(W67:W71)</f>
        <v>65070.25</v>
      </c>
      <c r="X66" s="46">
        <f>SUM(X67:X71)</f>
        <v>65070.25</v>
      </c>
      <c r="Y66" s="46">
        <f>SUM(Y67:Y71)</f>
        <v>65070.25</v>
      </c>
      <c r="Z66" s="46">
        <f>SUMIF($B$13:$Y$13,"Yes",B66:Y66)</f>
        <v>828585.25</v>
      </c>
      <c r="AA66" s="46">
        <f>SUM(B66:M66)</f>
        <v>763515</v>
      </c>
      <c r="AB66" s="46">
        <f>SUM(B66:Y66)</f>
        <v>1527030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0</v>
      </c>
      <c r="D67" s="36">
        <f>P67</f>
        <v>8664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0</v>
      </c>
      <c r="J67" s="36">
        <f>V67</f>
        <v>8664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Wheat</v>
      </c>
      <c r="B69" s="36">
        <f>N69</f>
        <v>56406.25</v>
      </c>
      <c r="C69" s="36">
        <f>O69</f>
        <v>56406.25</v>
      </c>
      <c r="D69" s="36">
        <f>P69</f>
        <v>56406.25</v>
      </c>
      <c r="E69" s="36">
        <f>Q69</f>
        <v>56406.25</v>
      </c>
      <c r="F69" s="36">
        <f>R69</f>
        <v>56406.25</v>
      </c>
      <c r="G69" s="36">
        <f>S69</f>
        <v>56406.25</v>
      </c>
      <c r="H69" s="36">
        <f>T69</f>
        <v>56406.25</v>
      </c>
      <c r="I69" s="36">
        <f>U69</f>
        <v>56406.25</v>
      </c>
      <c r="J69" s="36">
        <f>V69</f>
        <v>56406.25</v>
      </c>
      <c r="K69" s="36">
        <f>W69</f>
        <v>56406.25</v>
      </c>
      <c r="L69" s="36">
        <f>X69</f>
        <v>56406.25</v>
      </c>
      <c r="M69" s="36">
        <f>Y69</f>
        <v>56406.25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56406.25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56406.25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56406.25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56406.25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56406.25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56406.25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56406.25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56406.25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56406.25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56406.25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56406.25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56406.25</v>
      </c>
      <c r="Z69" s="46">
        <f>SUMIF($B$13:$Y$13,"Yes",B69:Y69)</f>
        <v>733281.25</v>
      </c>
      <c r="AA69" s="46">
        <f>SUM(B69:M69)</f>
        <v>676875</v>
      </c>
      <c r="AB69" s="46">
        <f>SUM(B69:Y69)</f>
        <v>1353750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1566.666666666667</v>
      </c>
      <c r="C75" s="46">
        <f>SUM(Calculations!$R$14:$R$16)/12</f>
        <v>1566.666666666667</v>
      </c>
      <c r="D75" s="46">
        <f>SUM(Calculations!$R$14:$R$16)/12</f>
        <v>1566.666666666667</v>
      </c>
      <c r="E75" s="46">
        <f>SUM(Calculations!$R$14:$R$16)/12</f>
        <v>1566.666666666667</v>
      </c>
      <c r="F75" s="46">
        <f>SUM(Calculations!$R$14:$R$16)/12</f>
        <v>1566.666666666667</v>
      </c>
      <c r="G75" s="46">
        <f>SUM(Calculations!$R$14:$R$16)/12</f>
        <v>1566.666666666667</v>
      </c>
      <c r="H75" s="46">
        <f>SUM(Calculations!$R$14:$R$16)/12</f>
        <v>1566.666666666667</v>
      </c>
      <c r="I75" s="46">
        <f>SUM(Calculations!$R$14:$R$16)/12</f>
        <v>1566.666666666667</v>
      </c>
      <c r="J75" s="46">
        <f>SUM(Calculations!$R$14:$R$16)/12</f>
        <v>1566.666666666667</v>
      </c>
      <c r="K75" s="46">
        <f>SUM(Calculations!$R$14:$R$16)/12</f>
        <v>1566.666666666667</v>
      </c>
      <c r="L75" s="46">
        <f>SUM(Calculations!$R$14:$R$16)/12</f>
        <v>1566.666666666667</v>
      </c>
      <c r="M75" s="46">
        <f>SUM(Calculations!$R$14:$R$16)/12</f>
        <v>1566.666666666667</v>
      </c>
      <c r="N75" s="46">
        <f>SUM(Calculations!$R$14:$R$16)/12</f>
        <v>1566.666666666667</v>
      </c>
      <c r="O75" s="46">
        <f>SUM(Calculations!$R$14:$R$16)/12</f>
        <v>1566.666666666667</v>
      </c>
      <c r="P75" s="46">
        <f>SUM(Calculations!$R$14:$R$16)/12</f>
        <v>1566.666666666667</v>
      </c>
      <c r="Q75" s="46">
        <f>SUM(Calculations!$R$14:$R$16)/12</f>
        <v>1566.666666666667</v>
      </c>
      <c r="R75" s="46">
        <f>SUM(Calculations!$R$14:$R$16)/12</f>
        <v>1566.666666666667</v>
      </c>
      <c r="S75" s="46">
        <f>SUM(Calculations!$R$14:$R$16)/12</f>
        <v>1566.666666666667</v>
      </c>
      <c r="T75" s="46">
        <f>SUM(Calculations!$R$14:$R$16)/12</f>
        <v>1566.666666666667</v>
      </c>
      <c r="U75" s="46">
        <f>SUM(Calculations!$R$14:$R$16)/12</f>
        <v>1566.666666666667</v>
      </c>
      <c r="V75" s="46">
        <f>SUM(Calculations!$R$14:$R$16)/12</f>
        <v>1566.666666666667</v>
      </c>
      <c r="W75" s="46">
        <f>SUM(Calculations!$R$14:$R$16)/12</f>
        <v>1566.666666666667</v>
      </c>
      <c r="X75" s="46">
        <f>SUM(Calculations!$R$14:$R$16)/12</f>
        <v>1566.666666666667</v>
      </c>
      <c r="Y75" s="46">
        <f>SUM(Calculations!$R$14:$R$16)/12</f>
        <v>1566.666666666667</v>
      </c>
      <c r="Z75" s="46">
        <f>SUMIF($B$13:$Y$13,"Yes",B75:Y75)</f>
        <v>20366.66666666667</v>
      </c>
      <c r="AA75" s="46">
        <f>SUM(B75:M75)</f>
        <v>18800</v>
      </c>
      <c r="AB75" s="46">
        <f>SUM(B75:Y75)</f>
        <v>37600</v>
      </c>
    </row>
    <row r="76" spans="1:30">
      <c r="A76" s="16" t="s">
        <v>48</v>
      </c>
      <c r="B76" s="46">
        <f>SUM(Calculations!$S$14:$S$16)/12</f>
        <v>3716.666666666667</v>
      </c>
      <c r="C76" s="46">
        <f>SUM(Calculations!$S$14:$S$16)/12</f>
        <v>3716.666666666667</v>
      </c>
      <c r="D76" s="46">
        <f>SUM(Calculations!$S$14:$S$16)/12</f>
        <v>3716.666666666667</v>
      </c>
      <c r="E76" s="46">
        <f>SUM(Calculations!$S$14:$S$16)/12</f>
        <v>3716.666666666667</v>
      </c>
      <c r="F76" s="46">
        <f>SUM(Calculations!$S$14:$S$16)/12</f>
        <v>3716.666666666667</v>
      </c>
      <c r="G76" s="46">
        <f>SUM(Calculations!$S$14:$S$16)/12</f>
        <v>3716.666666666667</v>
      </c>
      <c r="H76" s="46">
        <f>SUM(Calculations!$S$14:$S$16)/12</f>
        <v>3716.666666666667</v>
      </c>
      <c r="I76" s="46">
        <f>SUM(Calculations!$S$14:$S$16)/12</f>
        <v>3716.666666666667</v>
      </c>
      <c r="J76" s="46">
        <f>SUM(Calculations!$S$14:$S$16)/12</f>
        <v>3716.666666666667</v>
      </c>
      <c r="K76" s="46">
        <f>SUM(Calculations!$S$14:$S$16)/12</f>
        <v>3716.666666666667</v>
      </c>
      <c r="L76" s="46">
        <f>SUM(Calculations!$S$14:$S$16)/12</f>
        <v>3716.666666666667</v>
      </c>
      <c r="M76" s="46">
        <f>SUM(Calculations!$S$14:$S$16)/12</f>
        <v>3716.666666666667</v>
      </c>
      <c r="N76" s="46">
        <f>SUM(Calculations!$S$14:$S$16)/12</f>
        <v>3716.666666666667</v>
      </c>
      <c r="O76" s="46">
        <f>SUM(Calculations!$S$14:$S$16)/12</f>
        <v>3716.666666666667</v>
      </c>
      <c r="P76" s="46">
        <f>SUM(Calculations!$S$14:$S$16)/12</f>
        <v>3716.666666666667</v>
      </c>
      <c r="Q76" s="46">
        <f>SUM(Calculations!$S$14:$S$16)/12</f>
        <v>3716.666666666667</v>
      </c>
      <c r="R76" s="46">
        <f>SUM(Calculations!$S$14:$S$16)/12</f>
        <v>3716.666666666667</v>
      </c>
      <c r="S76" s="46">
        <f>SUM(Calculations!$S$14:$S$16)/12</f>
        <v>3716.666666666667</v>
      </c>
      <c r="T76" s="46">
        <f>SUM(Calculations!$S$14:$S$16)/12</f>
        <v>3716.666666666667</v>
      </c>
      <c r="U76" s="46">
        <f>SUM(Calculations!$S$14:$S$16)/12</f>
        <v>3716.666666666667</v>
      </c>
      <c r="V76" s="46">
        <f>SUM(Calculations!$S$14:$S$16)/12</f>
        <v>3716.666666666667</v>
      </c>
      <c r="W76" s="46">
        <f>SUM(Calculations!$S$14:$S$16)/12</f>
        <v>3716.666666666667</v>
      </c>
      <c r="X76" s="46">
        <f>SUM(Calculations!$S$14:$S$16)/12</f>
        <v>3716.666666666667</v>
      </c>
      <c r="Y76" s="46">
        <f>SUM(Calculations!$S$14:$S$16)/12</f>
        <v>3716.666666666667</v>
      </c>
      <c r="Z76" s="46">
        <f>SUMIF($B$13:$Y$13,"Yes",B76:Y76)</f>
        <v>48316.66666666666</v>
      </c>
      <c r="AA76" s="46">
        <f>SUM(B76:M76)</f>
        <v>44599.99999999999</v>
      </c>
      <c r="AB76" s="46">
        <f>SUM(B76:Y76)</f>
        <v>89200.00000000001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33608.2309196733</v>
      </c>
      <c r="C81" s="46">
        <f>(SUM($AA$18:$AA$29)-SUM($AA$36,$AA$42,$AA$48,$AA$54,$AA$60,$AA$66,$AA$72:$AA$79))*Parameters!$B$37/12</f>
        <v>33608.2309196733</v>
      </c>
      <c r="D81" s="46">
        <f>(SUM($AA$18:$AA$29)-SUM($AA$36,$AA$42,$AA$48,$AA$54,$AA$60,$AA$66,$AA$72:$AA$79))*Parameters!$B$37/12</f>
        <v>33608.2309196733</v>
      </c>
      <c r="E81" s="46">
        <f>(SUM($AA$18:$AA$29)-SUM($AA$36,$AA$42,$AA$48,$AA$54,$AA$60,$AA$66,$AA$72:$AA$79))*Parameters!$B$37/12</f>
        <v>33608.2309196733</v>
      </c>
      <c r="F81" s="46">
        <f>(SUM($AA$18:$AA$29)-SUM($AA$36,$AA$42,$AA$48,$AA$54,$AA$60,$AA$66,$AA$72:$AA$79))*Parameters!$B$37/12</f>
        <v>33608.2309196733</v>
      </c>
      <c r="G81" s="46">
        <f>(SUM($AA$18:$AA$29)-SUM($AA$36,$AA$42,$AA$48,$AA$54,$AA$60,$AA$66,$AA$72:$AA$79))*Parameters!$B$37/12</f>
        <v>33608.2309196733</v>
      </c>
      <c r="H81" s="46">
        <f>(SUM($AA$18:$AA$29)-SUM($AA$36,$AA$42,$AA$48,$AA$54,$AA$60,$AA$66,$AA$72:$AA$79))*Parameters!$B$37/12</f>
        <v>33608.2309196733</v>
      </c>
      <c r="I81" s="46">
        <f>(SUM($AA$18:$AA$29)-SUM($AA$36,$AA$42,$AA$48,$AA$54,$AA$60,$AA$66,$AA$72:$AA$79))*Parameters!$B$37/12</f>
        <v>33608.2309196733</v>
      </c>
      <c r="J81" s="46">
        <f>(SUM($AA$18:$AA$29)-SUM($AA$36,$AA$42,$AA$48,$AA$54,$AA$60,$AA$66,$AA$72:$AA$79))*Parameters!$B$37/12</f>
        <v>33608.2309196733</v>
      </c>
      <c r="K81" s="46">
        <f>(SUM($AA$18:$AA$29)-SUM($AA$36,$AA$42,$AA$48,$AA$54,$AA$60,$AA$66,$AA$72:$AA$79))*Parameters!$B$37/12</f>
        <v>33608.2309196733</v>
      </c>
      <c r="L81" s="46">
        <f>(SUM($AA$18:$AA$29)-SUM($AA$36,$AA$42,$AA$48,$AA$54,$AA$60,$AA$66,$AA$72:$AA$79))*Parameters!$B$37/12</f>
        <v>33608.2309196733</v>
      </c>
      <c r="M81" s="46">
        <f>(SUM($AA$18:$AA$29)-SUM($AA$36,$AA$42,$AA$48,$AA$54,$AA$60,$AA$66,$AA$72:$AA$79))*Parameters!$B$37/12</f>
        <v>33608.2309196733</v>
      </c>
      <c r="N81" s="46">
        <f>(SUM($AA$18:$AA$29)-SUM($AA$36,$AA$42,$AA$48,$AA$54,$AA$60,$AA$66,$AA$72:$AA$79))*Parameters!$B$37/12</f>
        <v>33608.2309196733</v>
      </c>
      <c r="O81" s="46">
        <f>(SUM($AA$18:$AA$29)-SUM($AA$36,$AA$42,$AA$48,$AA$54,$AA$60,$AA$66,$AA$72:$AA$79))*Parameters!$B$37/12</f>
        <v>33608.2309196733</v>
      </c>
      <c r="P81" s="46">
        <f>(SUM($AA$18:$AA$29)-SUM($AA$36,$AA$42,$AA$48,$AA$54,$AA$60,$AA$66,$AA$72:$AA$79))*Parameters!$B$37/12</f>
        <v>33608.2309196733</v>
      </c>
      <c r="Q81" s="46">
        <f>(SUM($AA$18:$AA$29)-SUM($AA$36,$AA$42,$AA$48,$AA$54,$AA$60,$AA$66,$AA$72:$AA$79))*Parameters!$B$37/12</f>
        <v>33608.2309196733</v>
      </c>
      <c r="R81" s="46">
        <f>(SUM($AA$18:$AA$29)-SUM($AA$36,$AA$42,$AA$48,$AA$54,$AA$60,$AA$66,$AA$72:$AA$79))*Parameters!$B$37/12</f>
        <v>33608.2309196733</v>
      </c>
      <c r="S81" s="46">
        <f>(SUM($AA$18:$AA$29)-SUM($AA$36,$AA$42,$AA$48,$AA$54,$AA$60,$AA$66,$AA$72:$AA$79))*Parameters!$B$37/12</f>
        <v>33608.2309196733</v>
      </c>
      <c r="T81" s="46">
        <f>(SUM($AA$18:$AA$29)-SUM($AA$36,$AA$42,$AA$48,$AA$54,$AA$60,$AA$66,$AA$72:$AA$79))*Parameters!$B$37/12</f>
        <v>33608.2309196733</v>
      </c>
      <c r="U81" s="46">
        <f>(SUM($AA$18:$AA$29)-SUM($AA$36,$AA$42,$AA$48,$AA$54,$AA$60,$AA$66,$AA$72:$AA$79))*Parameters!$B$37/12</f>
        <v>33608.2309196733</v>
      </c>
      <c r="V81" s="46">
        <f>(SUM($AA$18:$AA$29)-SUM($AA$36,$AA$42,$AA$48,$AA$54,$AA$60,$AA$66,$AA$72:$AA$79))*Parameters!$B$37/12</f>
        <v>33608.2309196733</v>
      </c>
      <c r="W81" s="46">
        <f>(SUM($AA$18:$AA$29)-SUM($AA$36,$AA$42,$AA$48,$AA$54,$AA$60,$AA$66,$AA$72:$AA$79))*Parameters!$B$37/12</f>
        <v>33608.2309196733</v>
      </c>
      <c r="X81" s="46">
        <f>(SUM($AA$18:$AA$29)-SUM($AA$36,$AA$42,$AA$48,$AA$54,$AA$60,$AA$66,$AA$72:$AA$79))*Parameters!$B$37/12</f>
        <v>33608.2309196733</v>
      </c>
      <c r="Y81" s="46">
        <f>(SUM($AA$18:$AA$29)-SUM($AA$36,$AA$42,$AA$48,$AA$54,$AA$60,$AA$66,$AA$72:$AA$79))*Parameters!$B$37/12</f>
        <v>33608.2309196733</v>
      </c>
      <c r="Z81" s="46">
        <f>SUMIF($B$13:$Y$13,"Yes",B81:Y81)</f>
        <v>436907.0019557527</v>
      </c>
      <c r="AA81" s="46">
        <f>SUM(B81:M81)</f>
        <v>403298.7710360794</v>
      </c>
      <c r="AB81" s="46">
        <f>SUM(B81:Y81)</f>
        <v>806597.5420721594</v>
      </c>
    </row>
    <row r="82" spans="1:30">
      <c r="A82" s="16" t="s">
        <v>52</v>
      </c>
      <c r="B82" s="46">
        <f>SUM(B83:B87)</f>
        <v>2234.302361769353</v>
      </c>
      <c r="C82" s="46">
        <f>SUM(C83:C87)</f>
        <v>2234.302361769353</v>
      </c>
      <c r="D82" s="46">
        <f>SUM(D83:D87)</f>
        <v>2234.302361769353</v>
      </c>
      <c r="E82" s="46">
        <f>SUM(E83:E87)</f>
        <v>2234.302361769353</v>
      </c>
      <c r="F82" s="46">
        <f>SUM(F83:F87)</f>
        <v>2234.302361769353</v>
      </c>
      <c r="G82" s="46">
        <f>SUM(G83:G87)</f>
        <v>1608.378191153238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12779.89</v>
      </c>
      <c r="AA82" s="46">
        <f>SUM(B82:M82)</f>
        <v>12779.89</v>
      </c>
      <c r="AB82" s="46">
        <f>SUM(B82:Y82)</f>
        <v>12779.89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2234.302361769353</v>
      </c>
      <c r="C83" s="46">
        <f>IF(Calculations!$E23&gt;COUNT(Output!$B$35:C$35),Calculations!$B23,IF(Calculations!$E23=COUNT(Output!$B$35:C$35),Inputs!$B56-Calculations!$C23*(Calculations!$E23-1)+Calculations!$D23,0))</f>
        <v>2234.302361769353</v>
      </c>
      <c r="D83" s="46">
        <f>IF(Calculations!$E23&gt;COUNT(Output!$B$35:D$35),Calculations!$B23,IF(Calculations!$E23=COUNT(Output!$B$35:D$35),Inputs!$B56-Calculations!$C23*(Calculations!$E23-1)+Calculations!$D23,0))</f>
        <v>2234.302361769353</v>
      </c>
      <c r="E83" s="46">
        <f>IF(Calculations!$E23&gt;COUNT(Output!$B$35:E$35),Calculations!$B23,IF(Calculations!$E23=COUNT(Output!$B$35:E$35),Inputs!$B56-Calculations!$C23*(Calculations!$E23-1)+Calculations!$D23,0))</f>
        <v>2234.302361769353</v>
      </c>
      <c r="F83" s="46">
        <f>IF(Calculations!$E23&gt;COUNT(Output!$B$35:F$35),Calculations!$B23,IF(Calculations!$E23=COUNT(Output!$B$35:F$35),Inputs!$B56-Calculations!$C23*(Calculations!$E23-1)+Calculations!$D23,0))</f>
        <v>2234.302361769353</v>
      </c>
      <c r="G83" s="46">
        <f>IF(Calculations!$E23&gt;COUNT(Output!$B$35:G$35),Calculations!$B23,IF(Calculations!$E23=COUNT(Output!$B$35:G$35),Inputs!$B56-Calculations!$C23*(Calculations!$E23-1)+Calculations!$D23,0))</f>
        <v>1608.378191153238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12779.89</v>
      </c>
      <c r="AA83" s="46">
        <f>SUM(B83:M83)</f>
        <v>12779.89</v>
      </c>
      <c r="AB83" s="46">
        <f>SUM(B83:Y83)</f>
        <v>12779.89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230487.7832814427</v>
      </c>
      <c r="C88" s="19">
        <f>SUM(C72:C82,C66,C60,C54,C48,C42,C36)</f>
        <v>125573.7832814427</v>
      </c>
      <c r="D88" s="19">
        <f>SUM(D72:D82,D66,D60,D54,D48,D42,D36)</f>
        <v>230237.7832814427</v>
      </c>
      <c r="E88" s="19">
        <f>SUM(E72:E82,E66,E60,E54,E48,E42,E36)</f>
        <v>359237.7832814427</v>
      </c>
      <c r="F88" s="19">
        <f>SUM(F72:F82,F66,F60,F54,F48,F42,F36)</f>
        <v>151437.7832814427</v>
      </c>
      <c r="G88" s="19">
        <f>SUM(G72:G82,G66,G60,G54,G48,G42,G36)</f>
        <v>133611.8591108265</v>
      </c>
      <c r="H88" s="19">
        <f>SUM(H72:H82,H66,H60,H54,H48,H42,H36)</f>
        <v>228253.4809196733</v>
      </c>
      <c r="I88" s="19">
        <f>SUM(I72:I82,I66,I60,I54,I48,I42,I36)</f>
        <v>123339.4809196733</v>
      </c>
      <c r="J88" s="19">
        <f>SUM(J72:J82,J66,J60,J54,J48,J42,J36)</f>
        <v>228003.4809196733</v>
      </c>
      <c r="K88" s="19">
        <f>SUM(K72:K82,K66,K60,K54,K48,K42,K36)</f>
        <v>357003.4809196733</v>
      </c>
      <c r="L88" s="19">
        <f>SUM(L72:L82,L66,L60,L54,L48,L42,L36)</f>
        <v>149203.4809196733</v>
      </c>
      <c r="M88" s="19">
        <f>SUM(M72:M82,M66,M60,M54,M48,M42,M36)</f>
        <v>132003.4809196733</v>
      </c>
      <c r="N88" s="19">
        <f>SUM(N72:N82,N66,N60,N54,N48,N42,N36)</f>
        <v>228253.4809196733</v>
      </c>
      <c r="O88" s="19">
        <f>SUM(O72:O82,O66,O60,O54,O48,O42,O36)</f>
        <v>123339.4809196733</v>
      </c>
      <c r="P88" s="19">
        <f>SUM(P72:P82,P66,P60,P54,P48,P42,P36)</f>
        <v>228003.4809196733</v>
      </c>
      <c r="Q88" s="19">
        <f>SUM(Q72:Q82,Q66,Q60,Q54,Q48,Q42,Q36)</f>
        <v>357003.4809196733</v>
      </c>
      <c r="R88" s="19">
        <f>SUM(R72:R82,R66,R60,R54,R48,R42,R36)</f>
        <v>149203.4809196733</v>
      </c>
      <c r="S88" s="19">
        <f>SUM(S72:S82,S66,S60,S54,S48,S42,S36)</f>
        <v>132003.4809196733</v>
      </c>
      <c r="T88" s="19">
        <f>SUM(T72:T82,T66,T60,T54,T48,T42,T36)</f>
        <v>228253.4809196733</v>
      </c>
      <c r="U88" s="19">
        <f>SUM(U72:U82,U66,U60,U54,U48,U42,U36)</f>
        <v>123339.4809196733</v>
      </c>
      <c r="V88" s="19">
        <f>SUM(V72:V82,V66,V60,V54,V48,V42,V36)</f>
        <v>228003.4809196733</v>
      </c>
      <c r="W88" s="19">
        <f>SUM(W72:W82,W66,W60,W54,W48,W42,W36)</f>
        <v>357003.4809196733</v>
      </c>
      <c r="X88" s="19">
        <f>SUM(X72:X82,X66,X60,X54,X48,X42,X36)</f>
        <v>149203.4809196733</v>
      </c>
      <c r="Y88" s="19">
        <f>SUM(Y72:Y82,Y66,Y60,Y54,Y48,Y42,Y36)</f>
        <v>132003.4809196733</v>
      </c>
      <c r="Z88" s="19">
        <f>SUMIF($B$13:$Y$13,"Yes",B88:Y88)</f>
        <v>2676647.141955752</v>
      </c>
      <c r="AA88" s="19">
        <f>SUM(B88:M88)</f>
        <v>2448393.661036079</v>
      </c>
      <c r="AB88" s="19">
        <f>SUM(B88:Y88)</f>
        <v>4884007.432072157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15000</v>
      </c>
    </row>
    <row r="96" spans="1:30">
      <c r="A96" t="s">
        <v>62</v>
      </c>
      <c r="B96" s="36">
        <f>SUMPRODUCT(Inputs!C19:C21,Calculations!O14:O16)</f>
        <v>1225000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11200000</v>
      </c>
    </row>
    <row r="98" spans="1:30">
      <c r="A98" t="s">
        <v>64</v>
      </c>
      <c r="B98" s="36">
        <f>IF(Inputs!B44="Yes",Inputs!B45,0)</f>
        <v>15007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16481507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10250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110250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8</v>
      </c>
      <c r="D20" s="147"/>
      <c r="E20" s="16"/>
      <c r="F20" s="147" t="s">
        <v>93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115</v>
      </c>
      <c r="B21" s="23"/>
      <c r="C21" s="144">
        <v>50</v>
      </c>
      <c r="D21" s="150">
        <v>0</v>
      </c>
      <c r="E21" s="23"/>
      <c r="F21" s="150" t="s">
        <v>93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5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35000</v>
      </c>
    </row>
    <row r="31" spans="1:48">
      <c r="A31" s="5" t="s">
        <v>122</v>
      </c>
      <c r="B31" s="158">
        <v>25000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15007</v>
      </c>
    </row>
    <row r="46" spans="1:48" customHeight="1" ht="30">
      <c r="A46" s="57" t="s">
        <v>136</v>
      </c>
      <c r="B46" s="161">
        <v>25000</v>
      </c>
    </row>
    <row r="47" spans="1:48" customHeight="1" ht="30">
      <c r="A47" s="57" t="s">
        <v>137</v>
      </c>
      <c r="B47" s="161">
        <v>15000</v>
      </c>
    </row>
    <row r="48" spans="1:48" customHeight="1" ht="30">
      <c r="A48" s="57" t="s">
        <v>138</v>
      </c>
      <c r="B48" s="161">
        <v>4000000</v>
      </c>
    </row>
    <row r="49" spans="1:48" customHeight="1" ht="30">
      <c r="A49" s="57" t="s">
        <v>139</v>
      </c>
      <c r="B49" s="161">
        <v>1500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22999</v>
      </c>
      <c r="B56" s="159">
        <v>10250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152</v>
      </c>
      <c r="C65" s="10" t="s">
        <v>153</v>
      </c>
    </row>
    <row r="66" spans="1:48">
      <c r="A66" s="142" t="s">
        <v>154</v>
      </c>
      <c r="B66" s="159">
        <v>58057</v>
      </c>
      <c r="C66" s="163">
        <v>53537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31324</v>
      </c>
      <c r="C67" s="165">
        <v>24474</v>
      </c>
      <c r="D67" s="49">
        <f>INDEX(Parameters!$D$79:$D$90,MATCH(Inputs!A67,Parameters!$C$79:$C$90,0))</f>
        <v>8</v>
      </c>
    </row>
    <row r="68" spans="1:48">
      <c r="A68" s="143" t="s">
        <v>156</v>
      </c>
      <c r="B68" s="157">
        <v>49860</v>
      </c>
      <c r="C68" s="165">
        <v>45050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58711</v>
      </c>
      <c r="C69" s="165">
        <v>47471</v>
      </c>
      <c r="D69" s="49">
        <f>INDEX(Parameters!$D$79:$D$90,MATCH(Inputs!A69,Parameters!$C$79:$C$90,0))</f>
        <v>6</v>
      </c>
    </row>
    <row r="70" spans="1:48">
      <c r="A70" s="143" t="s">
        <v>158</v>
      </c>
      <c r="B70" s="157">
        <v>29600</v>
      </c>
      <c r="C70" s="165">
        <v>28400</v>
      </c>
      <c r="D70" s="49">
        <f>INDEX(Parameters!$D$79:$D$90,MATCH(Inputs!A70,Parameters!$C$79:$C$90,0))</f>
        <v>5</v>
      </c>
    </row>
    <row r="71" spans="1:48">
      <c r="A71" s="144" t="s">
        <v>97</v>
      </c>
      <c r="B71" s="158">
        <v>846895</v>
      </c>
      <c r="C71" s="167">
        <v>804385</v>
      </c>
      <c r="D71" s="49">
        <f>INDEX(Parameters!$D$79:$D$90,MATCH(Inputs!A71,Parameters!$C$79:$C$90,0))</f>
        <v>4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437484.6406188774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Wheat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43191</v>
      </c>
      <c r="C6" s="39">
        <f>IFERROR(DATE(YEAR(B6),MONTH(B6)+ROUND(T6/2,0),DAY(B6)),B6)</f>
        <v>43282</v>
      </c>
      <c r="D6" s="39">
        <f>IFERROR(DATE(YEAR(B6),MONTH(B6)+T6,DAY(B6)),"")</f>
        <v>43344</v>
      </c>
      <c r="E6" s="39">
        <f>IFERROR(IF($S6=0,"",IF($S6=2,DATE(YEAR(B6),MONTH(B6)+6,DAY(B6)),IF($S6=1,B6,""))),"")</f>
        <v>43374</v>
      </c>
      <c r="F6" s="39">
        <f>IFERROR(IF($S6=0,"",IF($S6=2,DATE(YEAR(C6),MONTH(C6)+6,DAY(C6)),IF($S6=1,C6,""))),"")</f>
        <v>43466</v>
      </c>
      <c r="G6" s="39">
        <f>IFERROR(IF($S6=0,"",IF($S6=2,DATE(YEAR(D6),MONTH(D6)+6,DAY(D6)),IF($S6=1,D6,""))),"")</f>
        <v>43525</v>
      </c>
      <c r="H6" s="16">
        <f>Inputs!C9</f>
        <v>25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1268.358553027174</v>
      </c>
      <c r="M6" s="30">
        <f>L6*H6</f>
        <v>31708.96382567936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27.3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1644743.953637988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96250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225000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356250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61333.33333333334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5600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50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93750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187500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22999</v>
      </c>
      <c r="B23" s="75">
        <f>SUM(C23:D23)</f>
        <v>2234.302361769353</v>
      </c>
      <c r="C23" s="75">
        <f>IF(Inputs!B56&gt;0,(Inputs!A56-Inputs!B56)/(DATE(YEAR(Inputs!$B$76),MONTH(Inputs!$B$76),DAY(Inputs!$B$76))-DATE(YEAR(Inputs!C56),MONTH(Inputs!C56),DAY(Inputs!C56)))*30,0)</f>
        <v>1812.654028436019</v>
      </c>
      <c r="D23" s="75">
        <f>IF(Inputs!B56&gt;0,Inputs!A56*0.22/12,0)</f>
        <v>421.6483333333333</v>
      </c>
      <c r="E23" s="75">
        <f>IFERROR(ROUNDUP(Inputs!B56/C23,0),0)</f>
        <v>6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164</v>
      </c>
      <c r="G33" s="128">
        <f>IF(Inputs!B79="","",DATE(YEAR(Inputs!B79),MONTH(Inputs!B79),DAY(Inputs!B79)))</f>
        <v>43019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165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115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115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314</v>
      </c>
      <c r="H52" s="12" t="s">
        <v>133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233</v>
      </c>
      <c r="E53" s="10" t="s">
        <v>192</v>
      </c>
      <c r="F53" s="10" t="s">
        <v>252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170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229</v>
      </c>
      <c r="J76" s="11" t="s">
        <v>348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114</v>
      </c>
      <c r="H77" s="12" t="s">
        <v>133</v>
      </c>
      <c r="I77" s="12" t="s">
        <v>350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112</v>
      </c>
      <c r="H78" s="12" t="s">
        <v>315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170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