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<sst xmlns="http://schemas.openxmlformats.org/spreadsheetml/2006/main" uniqueCount="369">
  <si>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</si>
  <si>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</si>
  <si>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</si>
  <si>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</si>
  <si>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</si>
  <si>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</si>
  <si>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</si>
  <si>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</si>
  <si>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</si>
  <si>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</si>
  <si>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</si>
  <si>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</si>
  <si>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</si>
  <si>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</si>
  <si>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</si>
  <si>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</si>
  <si>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</si>
  <si>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</si>
  <si>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</si>
  <si>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</si>
  <si>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</si>
  <si>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</si>
  <si>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</si>
  <si>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</si>
  <si>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</si>
  <si>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</si>
  <si>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</si>
  <si>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</si>
  <si>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</si>
  <si>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</si>
  <si>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</si>
  <si>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</si>
  <si>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</si>
  <si>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</si>
  <si>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</si>
  <si>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</si>
  <si>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</si>
  <si>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</si>
  <si>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</si>
  <si>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</si>
  <si>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</si>
  <si>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</si>
  <si>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</si>
  <si>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</si>
  <si>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</si>
  <si>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</si>
  <si>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</si>
  <si>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</si>
  <si>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</si>
  <si>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</si>
  <si>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</si>
  <si>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</si>
  <si>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</si>
  <si>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</si>
  <si>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</si>
  <si>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</si>
  <si>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</si>
  <si>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</si>
  <si>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</si>
  <si>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</si>
  <si>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</si>
  <si>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</si>
  <si>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</si>
  <si>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</si>
  <si>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</si>
  <si>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</si>
  <si>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</si>
  <si>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</si>
  <si>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</si>
  <si>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</si>
  <si>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</si>
  <si>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</si>
  <si>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</si>
  <si>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</si>
  <si>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</si>
  <si>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</si>
  <si>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</si>
  <si>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</si>
  <si>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</si>
  <si>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</si>
  <si>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</si>
  <si>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</si>
  <si>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</si>
  <si>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</si>
  <si>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</si>
  <si>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</si>
  <si>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</si>
  <si>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</si>
  <si>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</si>
  <si>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</si>
  <si>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</si>
  <si>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</si>
  <si>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</si>
  <si>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</si>
  <si>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</si>
  <si>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</si>
  <si>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</si>
  <si>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</si>
  <si>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</si>
  <si>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</si>
  <si>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</si>
  <si>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</si>
  <si>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</si>
  <si>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</si>
  <si>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</si>
  <si>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</si>
  <si>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</si>
  <si>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</si>
  <si>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</si>
  <si>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</si>
  <si>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</si>
  <si>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</si>
  <si>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</si>
  <si>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</si>
  <si>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</si>
  <si>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</si>
  <si>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</si>
  <si>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</si>
  <si>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</si>
  <si>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</si>
  <si>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</si>
  <si>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</si>
  <si>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</si>
  <si>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</si>
  <si>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</si>
  <si>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No</t>
  </si>
  <si>
    <t>Land rent amount/ year</t>
  </si>
  <si>
    <t>Month when land rent is paid</t>
  </si>
  <si>
    <t>April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</si>
  <si>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</si>
  <si>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</si>
  <si>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</si>
  <si>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</si>
  <si>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</si>
  <si>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</si>
  <si>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</si>
  <si>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</si>
  <si>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</si>
  <si>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</si>
  <si>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</si>
  <si>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</si>
  <si>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</si>
  <si>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</si>
  <si>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</si>
  <si>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</si>
  <si>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10/11/2016</t>
  </si>
  <si>
    <t>musoni</t>
  </si>
  <si>
    <t>well paid</t>
  </si>
  <si>
    <t>10/11/2017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</si>
  <si>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</si>
  <si>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</si>
  <si>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</si>
  <si>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</si>
  <si>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</si>
  <si>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</si>
  <si>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2017/10/11</t>
  </si>
  <si>
    <t>Loan terms</t>
  </si>
  <si>
    <t>Expected disbursement date</t>
  </si>
  <si>
    <t>Expected first repayment date</t>
  </si>
  <si>
    <t>2017/11/11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</si>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</sst>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Chicken_broilers, Chicken_broilers, Chicken_broilers,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2.416091167173374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0.9952357142857143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-50333</v>
      </c>
    </row>
    <row r="18" spans="1:7">
      <c r="B18" s="1" t="s">
        <v>12</v>
      </c>
      <c r="C18" s="36">
        <f>MIN(Output!B6:M6)</f>
        <v>-18054.75621890547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-18054.75621890547</v>
      </c>
      <c r="C6" s="51">
        <f>C30-C88</f>
        <v>-18054.75621890547</v>
      </c>
      <c r="D6" s="51">
        <f>D30-D88</f>
        <v>-14223.48756218906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-50333</v>
      </c>
      <c r="AA6" s="51">
        <f>AA30-AA88</f>
        <v>-50333</v>
      </c>
      <c r="AB6" s="51">
        <f>AB30-AB88</f>
        <v>-50333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>
        <f>IF(ISERROR(VLOOKUP(MONTH(D5),Inputs!$D$66:$D$71,1,0)),"",INDEX(Inputs!$B$66:$B$71,MATCH(MONTH(Output!D5),Inputs!$D$66:$D$71,0))-INDEX(Inputs!$C$66:$C$71,MATCH(MONTH(Output!D5),Inputs!$D$66:$D$71,0)))</f>
        <v>0</v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>
        <f>IF(ISERROR(VLOOKUP(MONTH(P5),Inputs!$D$66:$D$71,1,0)),"",INDEX(Inputs!$B$66:$B$71,MATCH(MONTH(Output!P5),Inputs!$D$66:$D$71,0))-INDEX(Inputs!$C$66:$C$71,MATCH(MONTH(Output!P5),Inputs!$D$66:$D$71,0)))</f>
        <v>0</v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81945.24378109453</v>
      </c>
      <c r="C11" s="80">
        <f>C6+C9-C10</f>
        <v>-28054.75621890547</v>
      </c>
      <c r="D11" s="80">
        <f>D6+D9-D10</f>
        <v>-24223.48756218905</v>
      </c>
      <c r="E11" s="80">
        <f>E6+E9-E10</f>
        <v>-10000</v>
      </c>
      <c r="F11" s="80">
        <f>F6+F9-F10</f>
        <v>-10000</v>
      </c>
      <c r="G11" s="80">
        <f>G6+G9-G10</f>
        <v>-10000</v>
      </c>
      <c r="H11" s="80">
        <f>H6+H9-H10</f>
        <v>-10000</v>
      </c>
      <c r="I11" s="80">
        <f>I6+I9-I10</f>
        <v>-10000</v>
      </c>
      <c r="J11" s="80">
        <f>J6+J9-J10</f>
        <v>-10000</v>
      </c>
      <c r="K11" s="80">
        <f>K6+K9-K10</f>
        <v>-10000</v>
      </c>
      <c r="L11" s="80">
        <f>L6+L9-L10</f>
        <v>-10000</v>
      </c>
      <c r="M11" s="80">
        <f>M6+M9-M10</f>
        <v>-10000</v>
      </c>
      <c r="N11" s="80">
        <f>N6+N9-N10</f>
        <v>-10000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-70333</v>
      </c>
      <c r="AA11" s="80">
        <f>SUM(B11:M11)</f>
        <v>-60333</v>
      </c>
      <c r="AB11" s="46">
        <f>SUM(B11:Y11)</f>
        <v>-70333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0.1565178226299542</v>
      </c>
      <c r="D12" s="82">
        <f>IF(D13="Yes",IF(SUM($B$10:D10)/(SUM($B$6:D6)+SUM($B$9:D9))&lt;0,999.99,SUM($B$10:D10)/(SUM($B$6:D6)+SUM($B$9:D9))),"")</f>
        <v>0.4026818611955624</v>
      </c>
      <c r="E12" s="82">
        <f>IF(E13="Yes",IF(SUM($B$10:E10)/(SUM($B$6:E6)+SUM($B$9:E9))&lt;0,999.99,SUM($B$10:E10)/(SUM($B$6:E6)+SUM($B$9:E9))),"")</f>
        <v>0.6040227917933436</v>
      </c>
      <c r="F12" s="82">
        <f>IF(F13="Yes",IF(SUM($B$10:F10)/(SUM($B$6:F6)+SUM($B$9:F9))&lt;0,999.99,SUM($B$10:F10)/(SUM($B$6:F6)+SUM($B$9:F9))),"")</f>
        <v>0.8053637223911249</v>
      </c>
      <c r="G12" s="82">
        <f>IF(G13="Yes",IF(SUM($B$10:G10)/(SUM($B$6:G6)+SUM($B$9:G9))&lt;0,999.99,SUM($B$10:G10)/(SUM($B$6:G6)+SUM($B$9:G9))),"")</f>
        <v>1.006704652988906</v>
      </c>
      <c r="H12" s="82">
        <f>IF(H13="Yes",IF(SUM($B$10:H10)/(SUM($B$6:H6)+SUM($B$9:H9))&lt;0,999.99,SUM($B$10:H10)/(SUM($B$6:H6)+SUM($B$9:H9))),"")</f>
        <v>1.208045583586687</v>
      </c>
      <c r="I12" s="82">
        <f>IF(I13="Yes",IF(SUM($B$10:I10)/(SUM($B$6:I6)+SUM($B$9:I9))&lt;0,999.99,SUM($B$10:I10)/(SUM($B$6:I6)+SUM($B$9:I9))),"")</f>
        <v>1.409386514184469</v>
      </c>
      <c r="J12" s="82">
        <f>IF(J13="Yes",IF(SUM($B$10:J10)/(SUM($B$6:J6)+SUM($B$9:J9))&lt;0,999.99,SUM($B$10:J10)/(SUM($B$6:J6)+SUM($B$9:J9))),"")</f>
        <v>1.61072744478225</v>
      </c>
      <c r="K12" s="82">
        <f>IF(K13="Yes",IF(SUM($B$10:K10)/(SUM($B$6:K6)+SUM($B$9:K9))&lt;0,999.99,SUM($B$10:K10)/(SUM($B$6:K6)+SUM($B$9:K9))),"")</f>
        <v>1.812068375380031</v>
      </c>
      <c r="L12" s="82">
        <f>IF(L13="Yes",IF(SUM($B$10:L10)/(SUM($B$6:L6)+SUM($B$9:L9))&lt;0,999.99,SUM($B$10:L10)/(SUM($B$6:L6)+SUM($B$9:L9))),"")</f>
        <v>2.013409305977812</v>
      </c>
      <c r="M12" s="82">
        <f>IF(M13="Yes",IF(SUM($B$10:M10)/(SUM($B$6:M6)+SUM($B$9:M9))&lt;0,999.99,SUM($B$10:M10)/(SUM($B$6:M6)+SUM($B$9:M9))),"")</f>
        <v>2.214750236575593</v>
      </c>
      <c r="N12" s="82">
        <f>IF(N13="Yes",IF(SUM($B$10:N10)/(SUM($B$6:N6)+SUM($B$9:N9))&lt;0,999.99,SUM($B$10:N10)/(SUM($B$6:N6)+SUM($B$9:N9))),"")</f>
        <v>2.416091167173374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Chicken_broilers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Chicken_broilers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18054.75621890547</v>
      </c>
      <c r="C82" s="46">
        <f>SUM(C83:C87)</f>
        <v>18054.75621890547</v>
      </c>
      <c r="D82" s="46">
        <f>SUM(D83:D87)</f>
        <v>14223.48756218906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50333</v>
      </c>
      <c r="AA82" s="46">
        <f>SUM(B82:M82)</f>
        <v>50333</v>
      </c>
      <c r="AB82" s="46">
        <f>SUM(B82:Y82)</f>
        <v>50333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18054.75621890547</v>
      </c>
      <c r="C83" s="46">
        <f>IF(Calculations!$E23&gt;COUNT(Output!$B$35:C$35),Calculations!$B23,IF(Calculations!$E23=COUNT(Output!$B$35:C$35),Inputs!$B56-Calculations!$C23*(Calculations!$E23-1)+Calculations!$D23,0))</f>
        <v>18054.75621890547</v>
      </c>
      <c r="D83" s="46">
        <f>IF(Calculations!$E23&gt;COUNT(Output!$B$35:D$35),Calculations!$B23,IF(Calculations!$E23=COUNT(Output!$B$35:D$35),Inputs!$B56-Calculations!$C23*(Calculations!$E23-1)+Calculations!$D23,0))</f>
        <v>14223.48756218906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50333</v>
      </c>
      <c r="AA83" s="46">
        <f>SUM(B83:M83)</f>
        <v>50333</v>
      </c>
      <c r="AB83" s="46">
        <f>SUM(B83:Y83)</f>
        <v>50333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18054.75621890547</v>
      </c>
      <c r="C88" s="19">
        <f>SUM(C72:C82,C66,C60,C54,C48,C42,C36)</f>
        <v>18054.75621890547</v>
      </c>
      <c r="D88" s="19">
        <f>SUM(D72:D82,D66,D60,D54,D48,D42,D36)</f>
        <v>14223.48756218906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50333</v>
      </c>
      <c r="AA88" s="19">
        <f>SUM(B88:M88)</f>
        <v>50333</v>
      </c>
      <c r="AB88" s="19">
        <f>SUM(B88:Y88)</f>
        <v>50333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80000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39333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139333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109</v>
      </c>
      <c r="B20" s="16"/>
      <c r="C20" s="143">
        <v>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109</v>
      </c>
      <c r="B21" s="23"/>
      <c r="C21" s="144">
        <v>0</v>
      </c>
      <c r="D21" s="150">
        <v>0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100</v>
      </c>
    </row>
    <row r="27" spans="1:48">
      <c r="A27" s="14" t="s">
        <v>113</v>
      </c>
    </row>
    <row r="29" spans="1:48">
      <c r="A29" s="45" t="s">
        <v>114</v>
      </c>
      <c r="B29" s="156"/>
    </row>
    <row r="30" spans="1:48">
      <c r="A30" s="44" t="s">
        <v>115</v>
      </c>
      <c r="B30" s="157">
        <v>0</v>
      </c>
    </row>
    <row r="31" spans="1:48">
      <c r="A31" s="5" t="s">
        <v>116</v>
      </c>
      <c r="B31" s="158">
        <v>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>
        <v>0</v>
      </c>
      <c r="C35" s="145" t="s">
        <v>122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122</v>
      </c>
      <c r="D36" s="49">
        <f>IFERROR(VLOOKUP(C36,Parameters!$C$79:$D$90,2,0),"")</f>
        <v>12</v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125</v>
      </c>
    </row>
    <row r="41" spans="1:48">
      <c r="A41" s="55" t="s">
        <v>126</v>
      </c>
      <c r="B41" s="140">
        <v>0</v>
      </c>
    </row>
    <row r="42" spans="1:48">
      <c r="A42" s="55" t="s">
        <v>127</v>
      </c>
      <c r="B42" s="139" t="s">
        <v>128</v>
      </c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125</v>
      </c>
    </row>
    <row r="45" spans="1:48">
      <c r="A45" s="56" t="s">
        <v>132</v>
      </c>
      <c r="B45" s="161"/>
    </row>
    <row r="46" spans="1:48" customHeight="1" ht="30">
      <c r="A46" s="57" t="s">
        <v>133</v>
      </c>
      <c r="B46" s="161">
        <v>0</v>
      </c>
    </row>
    <row r="47" spans="1:48" customHeight="1" ht="30">
      <c r="A47" s="57" t="s">
        <v>134</v>
      </c>
      <c r="B47" s="161">
        <v>80000</v>
      </c>
    </row>
    <row r="48" spans="1:48" customHeight="1" ht="30">
      <c r="A48" s="57" t="s">
        <v>135</v>
      </c>
      <c r="B48" s="161">
        <v>0</v>
      </c>
    </row>
    <row r="49" spans="1:48" customHeight="1" ht="30">
      <c r="A49" s="57" t="s">
        <v>136</v>
      </c>
      <c r="B49" s="161">
        <v>60000</v>
      </c>
    </row>
    <row r="50" spans="1:48">
      <c r="A50" s="43"/>
      <c r="B50" s="36"/>
    </row>
    <row r="51" spans="1:48">
      <c r="A51" s="58" t="s">
        <v>137</v>
      </c>
      <c r="B51" s="161">
        <v>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200000</v>
      </c>
      <c r="B56" s="159">
        <v>39333</v>
      </c>
      <c r="C56" s="162" t="s">
        <v>145</v>
      </c>
      <c r="D56" s="163" t="s">
        <v>146</v>
      </c>
      <c r="E56" s="163" t="s">
        <v>92</v>
      </c>
      <c r="F56" s="163" t="s">
        <v>147</v>
      </c>
    </row>
    <row r="57" spans="1:48">
      <c r="A57" s="157">
        <v>0</v>
      </c>
      <c r="B57" s="157">
        <v>0</v>
      </c>
      <c r="C57" s="164" t="s">
        <v>148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148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148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148</v>
      </c>
      <c r="D60" s="167"/>
      <c r="E60" s="167" t="s">
        <v>92</v>
      </c>
      <c r="F60" s="167"/>
    </row>
    <row r="63" spans="1:48">
      <c r="A63" s="3" t="s">
        <v>149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150</v>
      </c>
      <c r="C65" s="10" t="s">
        <v>151</v>
      </c>
    </row>
    <row r="66" spans="1:48">
      <c r="A66" s="142" t="s">
        <v>122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122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122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122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122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122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2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1.26</v>
      </c>
      <c r="H14" s="121">
        <f>IFERROR(IF(B14="meat",INDEX(Parameters!$A$22:$P$29,MATCH(Calculations!A14,Parameters!$A$22:$A$29,0),MATCH(Parameters!$I$22,Parameters!$A$22:$P$22,0))*G14,""),"")</f>
        <v>1.26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 t="str">
        <f>Inputs!A20</f>
        <v>Chicken_broilers</v>
      </c>
      <c r="B15" s="16" t="str">
        <f>IFERROR(VLOOKUP(A15,Parameters!$A$23:$B$30,2,0),"")</f>
        <v>meat</v>
      </c>
      <c r="C15" s="16" t="str">
        <f>IF(Inputs!A20=Parameters!$A$30,Inputs!B20,A15&amp;": "&amp;B15)</f>
        <v>Chicken_broilers: meat</v>
      </c>
      <c r="D15" s="16">
        <f>Inputs!C20</f>
        <v>0</v>
      </c>
      <c r="E15" s="16">
        <f>Inputs!D20</f>
        <v/>
      </c>
      <c r="F15">
        <f>IFERROR(INDEX(Parameters!$A$22:$P$29,MATCH(Calculations!$A15,Parameters!$A$22:$A$29,0),MATCH(Parameters!$P$22,Parameters!$A$22:$P$22,0)),"")</f>
        <v>1.5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1.26</v>
      </c>
      <c r="H15" s="121">
        <f>IFERROR(IF(B15="meat",INDEX(Parameters!$A$22:$P$29,MATCH(Calculations!A15,Parameters!$A$22:$A$29,0),MATCH(Parameters!$I$22,Parameters!$A$22:$P$22,0))*G15,""),"")</f>
        <v>1.26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 t="str">
        <f>Inputs!A21</f>
        <v>Chicken_broilers</v>
      </c>
      <c r="B16" s="16" t="str">
        <f>IFERROR(VLOOKUP(A16,Parameters!$A$23:$B$30,2,0),"")</f>
        <v>meat</v>
      </c>
      <c r="C16" s="16" t="str">
        <f>IF(Inputs!A21=Parameters!$A$30,Inputs!B21,A16&amp;": "&amp;B16)</f>
        <v>Chicken_broilers: meat</v>
      </c>
      <c r="D16" s="16">
        <f>Inputs!C21</f>
        <v>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1.5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1.26</v>
      </c>
      <c r="H16" s="122">
        <f>IFERROR(IF(B16="meat",INDEX(Parameters!$A$22:$P$29,MATCH(Calculations!A16,Parameters!$A$22:$A$29,0),MATCH(Parameters!$I$22,Parameters!$A$22:$P$22,0))*G16,""),"")</f>
        <v>1.26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Chicken_broilers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0</v>
      </c>
      <c r="E17" s="23"/>
      <c r="F17" s="6">
        <f>IFERROR(INDEX(Parameters!$A$22:$P$29,MATCH(Calculations!$A17,Parameters!$A$22:$A$29,0),MATCH(Parameters!$P$22,Parameters!$A$22:$P$22,0)),"")</f>
        <v>1.5</v>
      </c>
      <c r="G17" s="120">
        <f>IF(A17="","",INDEX(G14:G16,MATCH(Parameters!B23,B14:B16,0)))</f>
        <v>1.26</v>
      </c>
      <c r="H17" s="123">
        <f>IFERROR(IF(B17="meat",INDEX(Parameters!$A$22:$P$29,MATCH(Calculations!A17,Parameters!$A$22:$A$29,0),MATCH(Parameters!$I$22,Parameters!$A$22:$P$22,0))*G17,""),"")</f>
        <v>1.26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450</v>
      </c>
      <c r="J17" s="126"/>
      <c r="K17" s="61"/>
      <c r="L17" s="172">
        <f>IF(A17="","",DATE(YEAR(Inputs!$B$76),MONTH(Inputs!$B$76)+Parameters!O23-INDEX(Inputs!$L$19:$L$21,MATCH(Parameters!$A$23,Inputs!$A$19:$A$21,0)),1))</f>
        <v>43556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200000</v>
      </c>
      <c r="B23" s="75">
        <f>SUM(C23:D23)</f>
        <v>18054.75621890547</v>
      </c>
      <c r="C23" s="75">
        <f>IF(Inputs!B56&gt;0,(Inputs!A56-Inputs!B56)/(DATE(YEAR(Inputs!$B$76),MONTH(Inputs!$B$76),DAY(Inputs!$B$76))-DATE(YEAR(Inputs!C56),MONTH(Inputs!C56),DAY(Inputs!C56)))*30,0)</f>
        <v>14388.08955223881</v>
      </c>
      <c r="D23" s="75">
        <f>IF(Inputs!B56&gt;0,Inputs!A56*0.22/12,0)</f>
        <v>3666.666666666667</v>
      </c>
      <c r="E23" s="75">
        <f>IFERROR(ROUNDUP(Inputs!B56/C23,0),0)</f>
        <v>3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 Zimmerman</v>
      </c>
    </row>
    <row r="33" spans="1:52">
      <c r="A33">
        <v>1</v>
      </c>
      <c r="B33" s="128">
        <f>G34</f>
        <v>43050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157</v>
      </c>
      <c r="G33" s="128">
        <f>IF(Inputs!B79="","",DATE(YEAR(Inputs!B79),MONTH(Inputs!B79),DAY(Inputs!B79)))</f>
        <v>43019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43080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158</v>
      </c>
      <c r="G34" s="128">
        <f>IF(Inputs!B80="","",DATE(YEAR(Inputs!B80),MONTH(Inputs!B80),DAY(Inputs!B80)))</f>
        <v>43050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43111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43142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43170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43201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43231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43262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43292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43323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43354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43384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109</v>
      </c>
      <c r="B24" s="21" t="s">
        <v>293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294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297</v>
      </c>
      <c r="B26" s="16" t="s">
        <v>293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298</v>
      </c>
      <c r="B27" s="71" t="s">
        <v>293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293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293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97</v>
      </c>
      <c r="B41" s="191" t="s">
        <v>125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109</v>
      </c>
      <c r="B43" s="72">
        <v>450</v>
      </c>
      <c r="C43" s="72">
        <v>250</v>
      </c>
    </row>
    <row r="44" spans="1:36">
      <c r="A44" t="s">
        <v>294</v>
      </c>
      <c r="B44" s="72">
        <v>50000</v>
      </c>
      <c r="C44" s="72">
        <v>200000</v>
      </c>
    </row>
    <row r="45" spans="1:36">
      <c r="A45" t="s">
        <v>297</v>
      </c>
      <c r="B45" s="72">
        <v>25000</v>
      </c>
      <c r="C45" s="72">
        <v>50000</v>
      </c>
    </row>
    <row r="46" spans="1:36">
      <c r="A46" t="s">
        <v>298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311</v>
      </c>
      <c r="H52" s="12" t="s">
        <v>312</v>
      </c>
      <c r="I52" s="12" t="s">
        <v>130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226</v>
      </c>
      <c r="E53" s="10" t="s">
        <v>185</v>
      </c>
      <c r="F53" s="10" t="s">
        <v>245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125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125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125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125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125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125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125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163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222</v>
      </c>
      <c r="J76" s="11" t="s">
        <v>345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346</v>
      </c>
      <c r="E77" s="12" t="s">
        <v>125</v>
      </c>
      <c r="F77" s="12" t="s">
        <v>125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125</v>
      </c>
      <c r="AJ77" s="12"/>
    </row>
    <row r="78" spans="1:36">
      <c r="A78" t="s">
        <v>125</v>
      </c>
      <c r="B78" s="176">
        <v>5</v>
      </c>
      <c r="C78" s="134" t="s">
        <v>95</v>
      </c>
      <c r="D78" s="133"/>
      <c r="E78" s="12" t="s">
        <v>350</v>
      </c>
      <c r="F78" s="12" t="s">
        <v>351</v>
      </c>
      <c r="G78" s="12" t="s">
        <v>110</v>
      </c>
      <c r="H78" s="12" t="s">
        <v>130</v>
      </c>
      <c r="I78" s="12" t="s">
        <v>352</v>
      </c>
      <c r="J78" s="70" t="s">
        <v>353</v>
      </c>
      <c r="K78" s="12" t="s">
        <v>125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163</v>
      </c>
      <c r="J79" s="70" t="s">
        <v>358</v>
      </c>
      <c r="K79" s="12" t="s">
        <v>125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91</v>
      </c>
      <c r="F80" s="12" t="s">
        <v>93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128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365</v>
      </c>
      <c r="D86" s="12">
        <f>D85+1</f>
        <v>8</v>
      </c>
    </row>
    <row r="87" spans="1:36">
      <c r="B87" s="176">
        <v>89.99999999999999</v>
      </c>
      <c r="C87" s="12" t="s">
        <v>366</v>
      </c>
      <c r="D87" s="12">
        <f>D86+1</f>
        <v>9</v>
      </c>
    </row>
    <row r="88" spans="1:36">
      <c r="B88" s="176">
        <v>99.99999999999999</v>
      </c>
      <c r="C88" s="12" t="s">
        <v>367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122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