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<sst xmlns="http://schemas.openxmlformats.org/spreadsheetml/2006/main" uniqueCount="366">
  <si>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</si>
  <si>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</si>
  <si>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</si>
  <si>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</si>
  <si>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</si>
  <si>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</si>
  <si>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</si>
  <si>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</si>
  <si>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</si>
  <si>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</si>
  <si>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</si>
  <si>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</si>
  <si>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</si>
  <si>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</si>
  <si>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</si>
  <si>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</si>
  <si>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</si>
  <si>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</si>
  <si>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</si>
  <si>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</si>
  <si>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</si>
  <si>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</si>
  <si>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</si>
  <si>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</si>
  <si>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</si>
  <si>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</si>
  <si>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</si>
  <si>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</si>
  <si>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</si>
  <si>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</si>
  <si>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</si>
  <si>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</si>
  <si>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</si>
  <si>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</si>
  <si>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</si>
  <si>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</si>
  <si>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</si>
  <si>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</si>
  <si>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</si>
  <si>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</si>
  <si>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</si>
  <si>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</si>
  <si>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</si>
  <si>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</si>
  <si>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</si>
  <si>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</si>
  <si>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</si>
  <si>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</si>
  <si>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</si>
  <si>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</si>
  <si>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</si>
  <si>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</si>
  <si>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</si>
  <si>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</si>
  <si>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</si>
  <si>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</si>
  <si>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</si>
  <si>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</si>
  <si>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</si>
  <si>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</si>
  <si>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</si>
  <si>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</si>
  <si>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</si>
  <si>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</si>
  <si>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</si>
  <si>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</si>
  <si>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</si>
  <si>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</si>
  <si>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</si>
  <si>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</si>
  <si>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</si>
  <si>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</si>
  <si>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</si>
  <si>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</si>
  <si>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</si>
  <si>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</si>
  <si>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</si>
  <si>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</si>
  <si>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</si>
  <si>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</si>
  <si>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</si>
  <si>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</si>
  <si>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</si>
  <si>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</si>
  <si>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</si>
  <si>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</si>
  <si>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</si>
  <si>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</si>
  <si>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</si>
  <si>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</si>
  <si>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Shop_common variety</t>
  </si>
  <si>
    <t>Yes both manure and inorganic</t>
  </si>
  <si>
    <t>Yes</t>
  </si>
  <si>
    <t>No</t>
  </si>
  <si>
    <t>November</t>
  </si>
  <si>
    <t>Other crops</t>
  </si>
  <si>
    <t>NGO</t>
  </si>
  <si>
    <t>Yes without the use of a pump</t>
  </si>
  <si>
    <t>every month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</si>
  <si>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</si>
  <si>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</si>
  <si>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</si>
  <si>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</si>
  <si>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</si>
  <si>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</si>
  <si>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</si>
  <si>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</si>
  <si>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</si>
  <si>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</si>
  <si>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</si>
  <si>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</si>
  <si>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</si>
  <si>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</si>
  <si>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</si>
  <si>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</si>
  <si>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</si>
  <si>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</si>
  <si>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business stalls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</si>
  <si>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</si>
  <si>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</si>
  <si>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</si>
  <si>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</si>
  <si>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</si>
  <si>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</si>
  <si>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</si>
  <si>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December</t>
  </si>
  <si>
    <t>Assets and liabilities</t>
  </si>
  <si>
    <t>Is the land yours?</t>
  </si>
  <si>
    <t>Land rent amount/ year</t>
  </si>
  <si>
    <t>Month when land rent is paid</t>
  </si>
  <si>
    <t>January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</si>
  <si>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</si>
  <si>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</si>
  <si>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</si>
  <si>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</si>
  <si>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</si>
  <si>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</si>
  <si>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</si>
  <si>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</si>
  <si>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</si>
  <si>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</si>
  <si>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</si>
  <si>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</si>
  <si>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</si>
  <si>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</si>
  <si>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</si>
  <si>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</si>
  <si>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</si>
  <si>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</si>
  <si>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</si>
  <si>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August</t>
  </si>
  <si>
    <t>July</t>
  </si>
  <si>
    <t>June</t>
  </si>
  <si>
    <t>May</t>
  </si>
  <si>
    <t>April</t>
  </si>
  <si>
    <t>March</t>
  </si>
  <si>
    <t>Loan info</t>
  </si>
  <si>
    <t>Branch ID</t>
  </si>
  <si>
    <t>Submission date</t>
  </si>
  <si>
    <t>2017/10/17</t>
  </si>
  <si>
    <t>Loan terms</t>
  </si>
  <si>
    <t>Expected disbursement date</t>
  </si>
  <si>
    <t>Expected first repayment date</t>
  </si>
  <si>
    <t>2017/11/17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</si>
  <si>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</si>
  <si>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</si>
  <si>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</si>
  <si>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</si>
  <si>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</si>
  <si>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</si>
  <si>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</si>
  <si>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</si>
  <si>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</si>
  <si>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</si>
  <si>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</si>
  <si>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</si>
  <si>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</si>
  <si>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</si>
  <si>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</si>
  <si>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</si>
  <si>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</si>
  <si>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</si>
  <si>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</si>
  <si>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</si>
  <si>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</si>
  <si>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</si>
  <si>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</si>
  <si>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</si>
  <si>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</si>
  <si>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</si>
  <si>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</si>
  <si>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</si>
  <si>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</si>
  <si>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</si>
  <si>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</si>
  <si>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</si>
  <si>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</si>
  <si>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</si>
  <si>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</si>
  <si>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</si>
  <si>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</si>
  <si>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</si>
  <si>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</si>
  <si>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</si>
  <si>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</si>
  <si>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</si>
  <si>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</si>
  <si>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</si>
  <si>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</si>
  <si>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</si>
  <si>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</si>
  <si>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</si>
  <si>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</si>
  <si>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</si>
  <si>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</si>
  <si>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</si>
  <si>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</si>
  <si>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</si>
  <si>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</si>
  <si>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</si>
  <si>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</si>
  <si>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</si>
  <si>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</si>
  <si>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</si>
  <si>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</si>
  <si>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</si>
  <si>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</si>
  <si>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</si>
  <si>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</si>
  <si>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</si>
  <si>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</si>
  <si>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</si>
  <si>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</si>
  <si>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</si>
  <si>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</si>
  <si>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</si>
  <si>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</si>
  <si>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</si>
  <si>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</si>
  <si>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</si>
  <si>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</si>
  <si>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</si>
  <si>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</si>
  <si>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</si>
  <si>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</si>
  <si>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</si>
  <si>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</si>
  <si>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</si>
  <si>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</si>
  <si>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</si>
  <si>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</si>
  <si>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</si>
  <si>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</si>
  <si>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</si>
  <si>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</si>
  <si>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</si>
  <si>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</si>
  <si>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</si>
  <si>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</si>
  <si>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</si>
  <si>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</si>
  <si>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</si>
  <si>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</si>
  <si>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</si>
  <si>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</si>
  <si>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</si>
  <si>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</si>
  <si>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</si>
  <si>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</si>
  <si>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</si>
  <si>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</si>
  <si>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</si>
  <si>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</si>
  <si>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</si>
  <si>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</si>
  <si>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</si>
  <si>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</si>
  <si>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</si>
  <si>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</si>
  <si>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</si>
  <si>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</si>
  <si>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</si>
  <si>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</si>
  <si>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</si>
  <si>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</si>
  <si>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</si>
  <si>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</si>
  <si>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</si>
  <si>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</si>
  <si>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</si>
  <si>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</si>
  <si>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</si>
  <si>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</si>
  <si>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</si>
  <si>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</si>
  <si>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</si>
  <si>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</si>
  <si>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</si>
  <si>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</si>
  <si>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</si>
  <si>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</si>
  <si>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</si>
  <si>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</si>
  <si>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</si>
  <si>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</si>
  <si>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</si>
  <si>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</si>
  <si>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</si>
  <si>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</si>
  <si>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</si>
  <si>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</si>
  <si>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</si>
  <si>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</si>
  <si>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</si>
  <si>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</si>
  <si>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</si>
  <si>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</si>
  <si>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</si>
  <si>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</si>
  <si>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</si>
  <si>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</si>
  <si>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</si>
  <si>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</si>
  <si>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</si>
  <si>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</si>
  <si>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</si>
  <si>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</si>
  <si>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</si>
  <si>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</si>
  <si>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</si>
  <si>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</si>
  <si>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</si>
  <si>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</si>
  <si>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</si>
  <si>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</si>
  <si>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</si>
  <si>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</si>
  <si>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</si>
  <si>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</si>
  <si>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</si>
  <si>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</si>
  <si>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</si>
  <si>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</si>
  <si>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</si>
  <si>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</si>
  <si>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</si>
  <si>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</si>
  <si>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</si>
  <si>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</si>
  <si>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</si>
  <si>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</si>
  <si>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</si>
  <si>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</si>
  <si>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</si>
  <si>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</si>
  <si>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</si>
  <si>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</si>
  <si>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</si>
  <si>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</si>
  <si>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</si>
  <si>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</si>
  <si>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</si>
  <si>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February</t>
  </si>
  <si>
    <t>Shop_certified variety</t>
  </si>
  <si>
    <t>September</t>
  </si>
  <si>
    <t>October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</si>
</sst>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November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business stalls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2018</v>
      </c>
    </row>
    <row r="13" spans="1:7">
      <c r="B13" s="1" t="s">
        <v>8</v>
      </c>
      <c r="C13" s="67">
        <f>IFERROR(Output!B107/Output!B101,"")</f>
        <v>0.1176470588235294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-293160.0000000001</v>
      </c>
    </row>
    <row r="18" spans="1:7">
      <c r="B18" s="1" t="s">
        <v>12</v>
      </c>
      <c r="C18" s="36">
        <f>MIN(Output!B6:M6)</f>
        <v>-237373.3333333334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May 2018</v>
      </c>
    </row>
    <row r="20" spans="1:7">
      <c r="B20" s="1" t="s">
        <v>14</v>
      </c>
      <c r="C20" s="36">
        <f>MAX(Output!B6:M6)</f>
        <v>44286.66666666666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April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1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43009</v>
      </c>
      <c r="C5" s="17">
        <f>DATE(YEAR(B5),MONTH(B5)+1,DAY(B5))</f>
        <v>43040</v>
      </c>
      <c r="D5" s="17">
        <f>DATE(YEAR(C5),MONTH(C5)+1,DAY(C5))</f>
        <v>43070</v>
      </c>
      <c r="E5" s="17">
        <f>DATE(YEAR(D5),MONTH(D5)+1,DAY(D5))</f>
        <v>43101</v>
      </c>
      <c r="F5" s="17">
        <f>DATE(YEAR(E5),MONTH(E5)+1,DAY(E5))</f>
        <v>43132</v>
      </c>
      <c r="G5" s="17">
        <f>DATE(YEAR(F5),MONTH(F5)+1,DAY(F5))</f>
        <v>43160</v>
      </c>
      <c r="H5" s="17">
        <f>DATE(YEAR(G5),MONTH(G5)+1,DAY(G5))</f>
        <v>43191</v>
      </c>
      <c r="I5" s="17">
        <f>DATE(YEAR(H5),MONTH(H5)+1,DAY(H5))</f>
        <v>43221</v>
      </c>
      <c r="J5" s="17">
        <f>DATE(YEAR(I5),MONTH(I5)+1,DAY(I5))</f>
        <v>43252</v>
      </c>
      <c r="K5" s="17">
        <f>DATE(YEAR(J5),MONTH(J5)+1,DAY(J5))</f>
        <v>43282</v>
      </c>
      <c r="L5" s="17">
        <f>DATE(YEAR(K5),MONTH(K5)+1,DAY(K5))</f>
        <v>43313</v>
      </c>
      <c r="M5" s="17">
        <f>DATE(YEAR(L5),MONTH(L5)+1,DAY(L5))</f>
        <v>43344</v>
      </c>
      <c r="N5" s="17">
        <f>DATE(YEAR(M5),MONTH(M5)+1,DAY(M5))</f>
        <v>43374</v>
      </c>
      <c r="O5" s="17">
        <f>DATE(YEAR(N5),MONTH(N5)+1,DAY(N5))</f>
        <v>43405</v>
      </c>
      <c r="P5" s="17">
        <f>DATE(YEAR(O5),MONTH(O5)+1,DAY(O5))</f>
        <v>43435</v>
      </c>
      <c r="Q5" s="17">
        <f>DATE(YEAR(P5),MONTH(P5)+1,DAY(P5))</f>
        <v>43466</v>
      </c>
      <c r="R5" s="17">
        <f>DATE(YEAR(Q5),MONTH(Q5)+1,DAY(Q5))</f>
        <v>43497</v>
      </c>
      <c r="S5" s="17">
        <f>DATE(YEAR(R5),MONTH(R5)+1,DAY(R5))</f>
        <v>43525</v>
      </c>
      <c r="T5" s="17">
        <f>DATE(YEAR(S5),MONTH(S5)+1,DAY(S5))</f>
        <v>43556</v>
      </c>
      <c r="U5" s="17">
        <f>DATE(YEAR(T5),MONTH(T5)+1,DAY(T5))</f>
        <v>43586</v>
      </c>
      <c r="V5" s="17">
        <f>DATE(YEAR(U5),MONTH(U5)+1,DAY(U5))</f>
        <v>43617</v>
      </c>
      <c r="W5" s="17">
        <f>DATE(YEAR(V5),MONTH(V5)+1,DAY(V5))</f>
        <v>43647</v>
      </c>
      <c r="X5" s="17">
        <f>DATE(YEAR(W5),MONTH(W5)+1,DAY(W5))</f>
        <v>43678</v>
      </c>
      <c r="Y5" s="17">
        <f>DATE(YEAR(X5),MONTH(X5)+1,DAY(X5))</f>
        <v>43709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43739</v>
      </c>
    </row>
    <row r="6" spans="1:30" customHeight="1" ht="15.75">
      <c r="A6" s="50" t="s">
        <v>27</v>
      </c>
      <c r="B6" s="51">
        <f>B30-B88</f>
        <v>44286.66666666666</v>
      </c>
      <c r="C6" s="51">
        <f>C30-C88</f>
        <v>-237373.3333333334</v>
      </c>
      <c r="D6" s="51">
        <f>D30-D88</f>
        <v>22626.66666666666</v>
      </c>
      <c r="E6" s="51">
        <f>E30-E88</f>
        <v>-22373.33333333334</v>
      </c>
      <c r="F6" s="51">
        <f>F30-F88</f>
        <v>22626.66666666666</v>
      </c>
      <c r="G6" s="51">
        <f>G30-G88</f>
        <v>22626.66666666666</v>
      </c>
      <c r="H6" s="51">
        <f>H30-H88</f>
        <v>44286.66666666666</v>
      </c>
      <c r="I6" s="51">
        <f>I30-I88</f>
        <v>-237373.3333333334</v>
      </c>
      <c r="J6" s="51">
        <f>J30-J88</f>
        <v>22626.66666666666</v>
      </c>
      <c r="K6" s="51">
        <f>K30-K88</f>
        <v>-20373.33333333334</v>
      </c>
      <c r="L6" s="51">
        <f>L30-L88</f>
        <v>22626.66666666666</v>
      </c>
      <c r="M6" s="51">
        <f>M30-M88</f>
        <v>22626.66666666666</v>
      </c>
      <c r="N6" s="51">
        <f>N30-N88</f>
        <v>44286.66666666666</v>
      </c>
      <c r="O6" s="51">
        <f>O30-O88</f>
        <v>-237373.3333333334</v>
      </c>
      <c r="P6" s="51">
        <f>P30-P88</f>
        <v>22626.66666666666</v>
      </c>
      <c r="Q6" s="51">
        <f>Q30-Q88</f>
        <v>-22373.33333333334</v>
      </c>
      <c r="R6" s="51">
        <f>R30-R88</f>
        <v>22626.66666666666</v>
      </c>
      <c r="S6" s="51">
        <f>S30-S88</f>
        <v>22626.66666666666</v>
      </c>
      <c r="T6" s="51">
        <f>T30-T88</f>
        <v>44286.66666666666</v>
      </c>
      <c r="U6" s="51">
        <f>U30-U88</f>
        <v>-237373.3333333334</v>
      </c>
      <c r="V6" s="51">
        <f>V30-V88</f>
        <v>22626.66666666666</v>
      </c>
      <c r="W6" s="51">
        <f>W30-W88</f>
        <v>-20373.33333333334</v>
      </c>
      <c r="X6" s="51">
        <f>X30-X88</f>
        <v>22626.66666666666</v>
      </c>
      <c r="Y6" s="51">
        <f>Y30-Y88</f>
        <v>22626.66666666666</v>
      </c>
      <c r="Z6" s="51">
        <f>SUMIF($B$13:$Y$13,"Yes",B6:Y6)</f>
        <v>-248873.3333333334</v>
      </c>
      <c r="AA6" s="51">
        <f>AA30-AA88</f>
        <v>-293160.0000000002</v>
      </c>
      <c r="AB6" s="51">
        <f>AB30-AB88</f>
        <v>-586320.0000000002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40287</v>
      </c>
      <c r="H7" s="80">
        <f>IF(ISERROR(VLOOKUP(MONTH(H5),Inputs!$D$66:$D$71,1,0)),"",INDEX(Inputs!$B$66:$B$71,MATCH(MONTH(Output!H5),Inputs!$D$66:$D$71,0))-INDEX(Inputs!$C$66:$C$71,MATCH(MONTH(Output!H5),Inputs!$D$66:$D$71,0)))</f>
        <v>45720</v>
      </c>
      <c r="I7" s="80">
        <f>IF(ISERROR(VLOOKUP(MONTH(I5),Inputs!$D$66:$D$71,1,0)),"",INDEX(Inputs!$B$66:$B$71,MATCH(MONTH(Output!I5),Inputs!$D$66:$D$71,0))-INDEX(Inputs!$C$66:$C$71,MATCH(MONTH(Output!I5),Inputs!$D$66:$D$71,0)))</f>
        <v>22470</v>
      </c>
      <c r="J7" s="80">
        <f>IF(ISERROR(VLOOKUP(MONTH(J5),Inputs!$D$66:$D$71,1,0)),"",INDEX(Inputs!$B$66:$B$71,MATCH(MONTH(Output!J5),Inputs!$D$66:$D$71,0))-INDEX(Inputs!$C$66:$C$71,MATCH(MONTH(Output!J5),Inputs!$D$66:$D$71,0)))</f>
        <v>35493</v>
      </c>
      <c r="K7" s="80">
        <f>IF(ISERROR(VLOOKUP(MONTH(K5),Inputs!$D$66:$D$71,1,0)),"",INDEX(Inputs!$B$66:$B$71,MATCH(MONTH(Output!K5),Inputs!$D$66:$D$71,0))-INDEX(Inputs!$C$66:$C$71,MATCH(MONTH(Output!K5),Inputs!$D$66:$D$71,0)))</f>
        <v>44250</v>
      </c>
      <c r="L7" s="80">
        <f>IF(ISERROR(VLOOKUP(MONTH(L5),Inputs!$D$66:$D$71,1,0)),"",INDEX(Inputs!$B$66:$B$71,MATCH(MONTH(Output!L5),Inputs!$D$66:$D$71,0))-INDEX(Inputs!$C$66:$C$71,MATCH(MONTH(Output!L5),Inputs!$D$66:$D$71,0)))</f>
        <v>69503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40287</v>
      </c>
      <c r="T7" s="80">
        <f>IF(ISERROR(VLOOKUP(MONTH(T5),Inputs!$D$66:$D$71,1,0)),"",INDEX(Inputs!$B$66:$B$71,MATCH(MONTH(Output!T5),Inputs!$D$66:$D$71,0))-INDEX(Inputs!$C$66:$C$71,MATCH(MONTH(Output!T5),Inputs!$D$66:$D$71,0)))</f>
        <v>45720</v>
      </c>
      <c r="U7" s="80">
        <f>IF(ISERROR(VLOOKUP(MONTH(U5),Inputs!$D$66:$D$71,1,0)),"",INDEX(Inputs!$B$66:$B$71,MATCH(MONTH(Output!U5),Inputs!$D$66:$D$71,0))-INDEX(Inputs!$C$66:$C$71,MATCH(MONTH(Output!U5),Inputs!$D$66:$D$71,0)))</f>
        <v>22470</v>
      </c>
      <c r="V7" s="80">
        <f>IF(ISERROR(VLOOKUP(MONTH(V5),Inputs!$D$66:$D$71,1,0)),"",INDEX(Inputs!$B$66:$B$71,MATCH(MONTH(Output!V5),Inputs!$D$66:$D$71,0))-INDEX(Inputs!$C$66:$C$71,MATCH(MONTH(Output!V5),Inputs!$D$66:$D$71,0)))</f>
        <v>35493</v>
      </c>
      <c r="W7" s="80">
        <f>IF(ISERROR(VLOOKUP(MONTH(W5),Inputs!$D$66:$D$71,1,0)),"",INDEX(Inputs!$B$66:$B$71,MATCH(MONTH(Output!W5),Inputs!$D$66:$D$71,0))-INDEX(Inputs!$C$66:$C$71,MATCH(MONTH(Output!W5),Inputs!$D$66:$D$71,0)))</f>
        <v>44250</v>
      </c>
      <c r="X7" s="80">
        <f>IF(ISERROR(VLOOKUP(MONTH(X5),Inputs!$D$66:$D$71,1,0)),"",INDEX(Inputs!$B$66:$B$71,MATCH(MONTH(Output!X5),Inputs!$D$66:$D$71,0))-INDEX(Inputs!$C$66:$C$71,MATCH(MONTH(Output!X5),Inputs!$D$66:$D$71,0)))</f>
        <v>69503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220000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244286.6666666667</v>
      </c>
      <c r="C11" s="80">
        <f>C6+C9-C10</f>
        <v>-257373.3333333334</v>
      </c>
      <c r="D11" s="80">
        <f>D6+D9-D10</f>
        <v>2626.666666666664</v>
      </c>
      <c r="E11" s="80">
        <f>E6+E9-E10</f>
        <v>-42373.33333333334</v>
      </c>
      <c r="F11" s="80">
        <f>F6+F9-F10</f>
        <v>2626.666666666664</v>
      </c>
      <c r="G11" s="80">
        <f>G6+G9-G10</f>
        <v>2626.666666666664</v>
      </c>
      <c r="H11" s="80">
        <f>H6+H9-H10</f>
        <v>24286.66666666666</v>
      </c>
      <c r="I11" s="80">
        <f>I6+I9-I10</f>
        <v>-257373.3333333334</v>
      </c>
      <c r="J11" s="80">
        <f>J6+J9-J10</f>
        <v>2626.666666666664</v>
      </c>
      <c r="K11" s="80">
        <f>K6+K9-K10</f>
        <v>-40373.33333333334</v>
      </c>
      <c r="L11" s="80">
        <f>L6+L9-L10</f>
        <v>2626.666666666664</v>
      </c>
      <c r="M11" s="80">
        <f>M6+M9-M10</f>
        <v>2626.666666666664</v>
      </c>
      <c r="N11" s="80">
        <f>N6+N9-N10</f>
        <v>24286.66666666666</v>
      </c>
      <c r="O11" s="80">
        <f>O6+O9-O10</f>
        <v>-237373.3333333334</v>
      </c>
      <c r="P11" s="80">
        <f>P6+P9-P10</f>
        <v>22626.66666666666</v>
      </c>
      <c r="Q11" s="80">
        <f>Q6+Q9-Q10</f>
        <v>-22373.33333333334</v>
      </c>
      <c r="R11" s="80">
        <f>R6+R9-R10</f>
        <v>22626.66666666666</v>
      </c>
      <c r="S11" s="80">
        <f>S6+S9-S10</f>
        <v>22626.66666666666</v>
      </c>
      <c r="T11" s="80">
        <f>T6+T9-T10</f>
        <v>44286.66666666666</v>
      </c>
      <c r="U11" s="80">
        <f>U6+U9-U10</f>
        <v>-237373.3333333334</v>
      </c>
      <c r="V11" s="80">
        <f>V6+V9-V10</f>
        <v>22626.66666666666</v>
      </c>
      <c r="W11" s="80">
        <f>W6+W9-W10</f>
        <v>-20373.33333333334</v>
      </c>
      <c r="X11" s="80">
        <f>X6+X9-X10</f>
        <v>22626.66666666666</v>
      </c>
      <c r="Y11" s="80">
        <f>Y6+Y9-Y10</f>
        <v>22626.66666666666</v>
      </c>
      <c r="Z11" s="85">
        <f>SUMIF($B$13:$Y$13,"Yes",B11:Y11)</f>
        <v>-288873.3333333333</v>
      </c>
      <c r="AA11" s="80">
        <f>SUM(B11:M11)</f>
        <v>-313160</v>
      </c>
      <c r="AB11" s="46">
        <f>SUM(B11:Y11)</f>
        <v>-626320.0000000002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2.892960462873694</v>
      </c>
      <c r="D12" s="82">
        <f>IF(D13="Yes",IF(SUM($B$10:D10)/(SUM($B$6:D6)+SUM($B$9:D9))&lt;0,999.99,SUM($B$10:D10)/(SUM($B$6:D6)+SUM($B$9:D9))),"")</f>
        <v>1.354096140826001</v>
      </c>
      <c r="E12" s="82">
        <f>IF(E13="Yes",IF(SUM($B$10:E10)/(SUM($B$6:E6)+SUM($B$9:E9))&lt;0,999.99,SUM($B$10:E10)/(SUM($B$6:E6)+SUM($B$9:E9))),"")</f>
        <v>8.372093023255893</v>
      </c>
      <c r="F12" s="82">
        <f>IF(F13="Yes",IF(SUM($B$10:F10)/(SUM($B$6:F6)+SUM($B$9:F9))&lt;0,999.99,SUM($B$10:F10)/(SUM($B$6:F6)+SUM($B$9:F9))),"")</f>
        <v>2.685164466323569</v>
      </c>
      <c r="G12" s="82">
        <f>IF(G13="Yes",IF(SUM($B$10:G10)/(SUM($B$6:G6)+SUM($B$9:G9))&lt;0,999.99,SUM($B$10:G10)/(SUM($B$6:G6)+SUM($B$9:G9))),"")</f>
        <v>1.907668828691342</v>
      </c>
      <c r="H12" s="82">
        <f>IF(H13="Yes",IF(SUM($B$10:H10)/(SUM($B$6:H6)+SUM($B$9:H9))&lt;0,999.99,SUM($B$10:H10)/(SUM($B$6:H6)+SUM($B$9:H9))),"")</f>
        <v>1.240865848614368</v>
      </c>
      <c r="I12" s="82">
        <f>IF(I13="Yes",IF(SUM($B$10:I10)/(SUM($B$6:I6)+SUM($B$9:I9))&lt;0,999.99,SUM($B$10:I10)/(SUM($B$6:I6)+SUM($B$9:I9))),"")</f>
        <v>999.99</v>
      </c>
      <c r="J12" s="82">
        <f>IF(J13="Yes",IF(SUM($B$10:J10)/(SUM($B$6:J6)+SUM($B$9:J9))&lt;0,999.99,SUM($B$10:J10)/(SUM($B$6:J6)+SUM($B$9:J9))),"")</f>
        <v>999.99</v>
      </c>
      <c r="K12" s="82">
        <f>IF(K13="Yes",IF(SUM($B$10:K10)/(SUM($B$6:K6)+SUM($B$9:K9))&lt;0,999.99,SUM($B$10:K10)/(SUM($B$6:K6)+SUM($B$9:K9))),"")</f>
        <v>999.99</v>
      </c>
      <c r="L12" s="82">
        <f>IF(L13="Yes",IF(SUM($B$10:L10)/(SUM($B$6:L6)+SUM($B$9:L9))&lt;0,999.99,SUM($B$10:L10)/(SUM($B$6:L6)+SUM($B$9:L9))),"")</f>
        <v>999.99</v>
      </c>
      <c r="M12" s="82">
        <f>IF(M13="Yes",IF(SUM($B$10:M10)/(SUM($B$6:M6)+SUM($B$9:M9))&lt;0,999.99,SUM($B$10:M10)/(SUM($B$6:M6)+SUM($B$9:M9))),"")</f>
        <v>999.99</v>
      </c>
      <c r="N12" s="82">
        <f>IF(N13="Yes",IF(SUM($B$10:N10)/(SUM($B$6:N6)+SUM($B$9:N9))&lt;0,999.99,SUM($B$10:N10)/(SUM($B$6:N6)+SUM($B$9:N9))),"")</f>
        <v>999.99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43009</v>
      </c>
      <c r="C17" s="17">
        <f>C5</f>
        <v>43040</v>
      </c>
      <c r="D17" s="17">
        <f>D5</f>
        <v>43070</v>
      </c>
      <c r="E17" s="17">
        <f>E5</f>
        <v>43101</v>
      </c>
      <c r="F17" s="17">
        <f>F5</f>
        <v>43132</v>
      </c>
      <c r="G17" s="17">
        <f>G5</f>
        <v>43160</v>
      </c>
      <c r="H17" s="17">
        <f>H5</f>
        <v>43191</v>
      </c>
      <c r="I17" s="17">
        <f>I5</f>
        <v>43221</v>
      </c>
      <c r="J17" s="17">
        <f>J5</f>
        <v>43252</v>
      </c>
      <c r="K17" s="17">
        <f>K5</f>
        <v>43282</v>
      </c>
      <c r="L17" s="17">
        <f>L5</f>
        <v>43313</v>
      </c>
      <c r="M17" s="17">
        <f>M5</f>
        <v>43344</v>
      </c>
      <c r="N17" s="17">
        <f>N5</f>
        <v>43374</v>
      </c>
      <c r="O17" s="17">
        <f>O5</f>
        <v>43405</v>
      </c>
      <c r="P17" s="17">
        <f>P5</f>
        <v>43435</v>
      </c>
      <c r="Q17" s="17">
        <f>Q5</f>
        <v>43466</v>
      </c>
      <c r="R17" s="17">
        <f>R5</f>
        <v>43497</v>
      </c>
      <c r="S17" s="17">
        <f>S5</f>
        <v>43525</v>
      </c>
      <c r="T17" s="17">
        <f>T5</f>
        <v>43556</v>
      </c>
      <c r="U17" s="17">
        <f>U5</f>
        <v>43586</v>
      </c>
      <c r="V17" s="17">
        <f>V5</f>
        <v>43617</v>
      </c>
      <c r="W17" s="17">
        <f>W5</f>
        <v>43647</v>
      </c>
      <c r="X17" s="17">
        <f>X5</f>
        <v>43678</v>
      </c>
      <c r="Y17" s="17">
        <f>Y5</f>
        <v>43709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30000</v>
      </c>
      <c r="C29" s="37">
        <f>Inputs!$B$30</f>
        <v>30000</v>
      </c>
      <c r="D29" s="37">
        <f>Inputs!$B$30</f>
        <v>30000</v>
      </c>
      <c r="E29" s="37">
        <f>Inputs!$B$30</f>
        <v>30000</v>
      </c>
      <c r="F29" s="37">
        <f>Inputs!$B$30</f>
        <v>30000</v>
      </c>
      <c r="G29" s="37">
        <f>Inputs!$B$30</f>
        <v>30000</v>
      </c>
      <c r="H29" s="37">
        <f>Inputs!$B$30</f>
        <v>30000</v>
      </c>
      <c r="I29" s="37">
        <f>Inputs!$B$30</f>
        <v>30000</v>
      </c>
      <c r="J29" s="37">
        <f>Inputs!$B$30</f>
        <v>30000</v>
      </c>
      <c r="K29" s="37">
        <f>Inputs!$B$30</f>
        <v>30000</v>
      </c>
      <c r="L29" s="37">
        <f>Inputs!$B$30</f>
        <v>30000</v>
      </c>
      <c r="M29" s="37">
        <f>Inputs!$B$30</f>
        <v>30000</v>
      </c>
      <c r="N29" s="37">
        <f>Inputs!$B$30</f>
        <v>30000</v>
      </c>
      <c r="O29" s="37">
        <f>Inputs!$B$30</f>
        <v>30000</v>
      </c>
      <c r="P29" s="37">
        <f>Inputs!$B$30</f>
        <v>30000</v>
      </c>
      <c r="Q29" s="37">
        <f>Inputs!$B$30</f>
        <v>30000</v>
      </c>
      <c r="R29" s="37">
        <f>Inputs!$B$30</f>
        <v>30000</v>
      </c>
      <c r="S29" s="37">
        <f>Inputs!$B$30</f>
        <v>30000</v>
      </c>
      <c r="T29" s="37">
        <f>Inputs!$B$30</f>
        <v>30000</v>
      </c>
      <c r="U29" s="37">
        <f>Inputs!$B$30</f>
        <v>30000</v>
      </c>
      <c r="V29" s="37">
        <f>Inputs!$B$30</f>
        <v>30000</v>
      </c>
      <c r="W29" s="37">
        <f>Inputs!$B$30</f>
        <v>30000</v>
      </c>
      <c r="X29" s="37">
        <f>Inputs!$B$30</f>
        <v>30000</v>
      </c>
      <c r="Y29" s="37">
        <f>Inputs!$B$30</f>
        <v>30000</v>
      </c>
      <c r="Z29" s="37">
        <f>SUMIF($B$13:$Y$13,"Yes",B29:Y29)</f>
        <v>390000</v>
      </c>
      <c r="AA29" s="37">
        <f>SUM(B29:M29)</f>
        <v>360000</v>
      </c>
      <c r="AB29" s="37">
        <f>SUM(B29:Y29)</f>
        <v>720000</v>
      </c>
    </row>
    <row r="30" spans="1:30" customHeight="1" ht="15.75">
      <c r="A30" s="1" t="s">
        <v>37</v>
      </c>
      <c r="B30" s="19">
        <f>SUM(B18:B29)</f>
        <v>30000</v>
      </c>
      <c r="C30" s="19">
        <f>SUM(C18:C29)</f>
        <v>30000</v>
      </c>
      <c r="D30" s="19">
        <f>SUM(D18:D29)</f>
        <v>30000</v>
      </c>
      <c r="E30" s="19">
        <f>SUM(E18:E29)</f>
        <v>30000</v>
      </c>
      <c r="F30" s="19">
        <f>SUM(F18:F29)</f>
        <v>30000</v>
      </c>
      <c r="G30" s="19">
        <f>SUM(G18:G29)</f>
        <v>30000</v>
      </c>
      <c r="H30" s="19">
        <f>SUM(H18:H29)</f>
        <v>30000</v>
      </c>
      <c r="I30" s="19">
        <f>SUM(I18:I29)</f>
        <v>30000</v>
      </c>
      <c r="J30" s="19">
        <f>SUM(J18:J29)</f>
        <v>30000</v>
      </c>
      <c r="K30" s="19">
        <f>SUM(K18:K29)</f>
        <v>30000</v>
      </c>
      <c r="L30" s="19">
        <f>SUM(L18:L29)</f>
        <v>30000</v>
      </c>
      <c r="M30" s="19">
        <f>SUM(M18:M29)</f>
        <v>30000</v>
      </c>
      <c r="N30" s="19">
        <f>SUM(N18:N29)</f>
        <v>30000</v>
      </c>
      <c r="O30" s="19">
        <f>SUM(O18:O29)</f>
        <v>30000</v>
      </c>
      <c r="P30" s="19">
        <f>SUM(P18:P29)</f>
        <v>30000</v>
      </c>
      <c r="Q30" s="19">
        <f>SUM(Q18:Q29)</f>
        <v>30000</v>
      </c>
      <c r="R30" s="19">
        <f>SUM(R18:R29)</f>
        <v>30000</v>
      </c>
      <c r="S30" s="19">
        <f>SUM(S18:S29)</f>
        <v>30000</v>
      </c>
      <c r="T30" s="19">
        <f>SUM(T18:T29)</f>
        <v>30000</v>
      </c>
      <c r="U30" s="19">
        <f>SUM(U18:U29)</f>
        <v>30000</v>
      </c>
      <c r="V30" s="19">
        <f>SUM(V18:V29)</f>
        <v>30000</v>
      </c>
      <c r="W30" s="19">
        <f>SUM(W18:W29)</f>
        <v>30000</v>
      </c>
      <c r="X30" s="19">
        <f>SUM(X18:X29)</f>
        <v>30000</v>
      </c>
      <c r="Y30" s="19">
        <f>SUM(Y18:Y29)</f>
        <v>30000</v>
      </c>
      <c r="Z30" s="19">
        <f>SUMIF($B$13:$Y$13,"Yes",B30:Y30)</f>
        <v>390000</v>
      </c>
      <c r="AA30" s="19">
        <f>SUM(B30:M30)</f>
        <v>360000</v>
      </c>
      <c r="AB30" s="19">
        <f>SUM(B30:Y30)</f>
        <v>720000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43009</v>
      </c>
      <c r="C35" s="17">
        <f>C17</f>
        <v>43040</v>
      </c>
      <c r="D35" s="17">
        <f>D17</f>
        <v>43070</v>
      </c>
      <c r="E35" s="17">
        <f>E17</f>
        <v>43101</v>
      </c>
      <c r="F35" s="17">
        <f>F17</f>
        <v>43132</v>
      </c>
      <c r="G35" s="17">
        <f>G17</f>
        <v>43160</v>
      </c>
      <c r="H35" s="17">
        <f>H17</f>
        <v>43191</v>
      </c>
      <c r="I35" s="17">
        <f>I17</f>
        <v>43221</v>
      </c>
      <c r="J35" s="17">
        <f>J17</f>
        <v>43252</v>
      </c>
      <c r="K35" s="17">
        <f>K17</f>
        <v>43282</v>
      </c>
      <c r="L35" s="17">
        <f>L17</f>
        <v>43313</v>
      </c>
      <c r="M35" s="17">
        <f>M17</f>
        <v>43344</v>
      </c>
      <c r="N35" s="17">
        <f>N17</f>
        <v>43374</v>
      </c>
      <c r="O35" s="17">
        <f>O17</f>
        <v>43405</v>
      </c>
      <c r="P35" s="17">
        <f>P17</f>
        <v>43435</v>
      </c>
      <c r="Q35" s="17">
        <f>Q17</f>
        <v>43466</v>
      </c>
      <c r="R35" s="17">
        <f>R17</f>
        <v>43497</v>
      </c>
      <c r="S35" s="17">
        <f>S17</f>
        <v>43525</v>
      </c>
      <c r="T35" s="17">
        <f>T17</f>
        <v>43556</v>
      </c>
      <c r="U35" s="17">
        <f>U17</f>
        <v>43586</v>
      </c>
      <c r="V35" s="17">
        <f>V17</f>
        <v>43617</v>
      </c>
      <c r="W35" s="17">
        <f>W17</f>
        <v>43647</v>
      </c>
      <c r="X35" s="17">
        <f>X17</f>
        <v>43678</v>
      </c>
      <c r="Y35" s="17">
        <f>Y17</f>
        <v>43709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20000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20000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20000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20000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40000</v>
      </c>
      <c r="AA36" s="36">
        <f>SUM(B36:M36)</f>
        <v>40000</v>
      </c>
      <c r="AB36" s="36">
        <f>SUM(B36:Y36)</f>
        <v>80000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20000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20000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20000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20000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40000</v>
      </c>
      <c r="AA37" s="36">
        <f>SUM(B37:M37)</f>
        <v>40000</v>
      </c>
      <c r="AB37" s="36">
        <f>SUM(B37:Y37)</f>
        <v>80000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240000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240000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240000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240000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480000</v>
      </c>
      <c r="AA42" s="36">
        <f>SUM(B42:M42)</f>
        <v>480000</v>
      </c>
      <c r="AB42" s="36">
        <f>SUM(B42:Y42)</f>
        <v>960000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240000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240000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240000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240000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480000</v>
      </c>
      <c r="AA43" s="36">
        <f>SUM(B43:M43)</f>
        <v>480000</v>
      </c>
      <c r="AB43" s="36">
        <f>SUM(B43:Y43)</f>
        <v>960000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43000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43000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43000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43000</v>
      </c>
      <c r="X48" s="46">
        <f>SUM(X49:X53)</f>
        <v>0</v>
      </c>
      <c r="Y48" s="46">
        <f>SUM(Y49:Y53)</f>
        <v>0</v>
      </c>
      <c r="Z48" s="46">
        <f>SUMIF($B$13:$Y$13,"Yes",B48:Y48)</f>
        <v>86000</v>
      </c>
      <c r="AA48" s="46">
        <f>SUM(B48:M48)</f>
        <v>86000</v>
      </c>
      <c r="AB48" s="46">
        <f>SUM(B48:Y48)</f>
        <v>172000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43000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43000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43000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43000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86000</v>
      </c>
      <c r="AA49" s="46">
        <f>SUM(B49:M49)</f>
        <v>86000</v>
      </c>
      <c r="AB49" s="46">
        <f>SUM(B49:Y49)</f>
        <v>172000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21660</v>
      </c>
      <c r="D66" s="36">
        <f>P66</f>
        <v>21660</v>
      </c>
      <c r="E66" s="36">
        <f>Q66</f>
        <v>21660</v>
      </c>
      <c r="F66" s="36">
        <f>R66</f>
        <v>21660</v>
      </c>
      <c r="G66" s="36">
        <f>S66</f>
        <v>21660</v>
      </c>
      <c r="H66" s="36">
        <f>T66</f>
        <v>0</v>
      </c>
      <c r="I66" s="36">
        <f>U66</f>
        <v>21660</v>
      </c>
      <c r="J66" s="36">
        <f>V66</f>
        <v>21660</v>
      </c>
      <c r="K66" s="36">
        <f>W66</f>
        <v>21660</v>
      </c>
      <c r="L66" s="36">
        <f>X66</f>
        <v>21660</v>
      </c>
      <c r="M66" s="36">
        <f>Y66</f>
        <v>21660</v>
      </c>
      <c r="N66" s="46">
        <f>SUM(N67:N71)</f>
        <v>0</v>
      </c>
      <c r="O66" s="46">
        <f>SUM(O67:O71)</f>
        <v>21660</v>
      </c>
      <c r="P66" s="46">
        <f>SUM(P67:P71)</f>
        <v>21660</v>
      </c>
      <c r="Q66" s="46">
        <f>SUM(Q67:Q71)</f>
        <v>21660</v>
      </c>
      <c r="R66" s="46">
        <f>SUM(R67:R71)</f>
        <v>21660</v>
      </c>
      <c r="S66" s="46">
        <f>SUM(S67:S71)</f>
        <v>21660</v>
      </c>
      <c r="T66" s="46">
        <f>SUM(T67:T71)</f>
        <v>0</v>
      </c>
      <c r="U66" s="46">
        <f>SUM(U67:U71)</f>
        <v>21660</v>
      </c>
      <c r="V66" s="46">
        <f>SUM(V67:V71)</f>
        <v>21660</v>
      </c>
      <c r="W66" s="46">
        <f>SUM(W67:W71)</f>
        <v>21660</v>
      </c>
      <c r="X66" s="46">
        <f>SUM(X67:X71)</f>
        <v>21660</v>
      </c>
      <c r="Y66" s="46">
        <f>SUM(Y67:Y71)</f>
        <v>21660</v>
      </c>
      <c r="Z66" s="46">
        <f>SUMIF($B$13:$Y$13,"Yes",B66:Y66)</f>
        <v>216600</v>
      </c>
      <c r="AA66" s="46">
        <f>SUM(B66:M66)</f>
        <v>216600</v>
      </c>
      <c r="AB66" s="46">
        <f>SUM(B66:Y66)</f>
        <v>433200</v>
      </c>
    </row>
    <row r="67" spans="1:30" hidden="true" outlineLevel="1">
      <c r="A67" s="181" t="str">
        <f>Calculations!$A$4</f>
        <v>Potatoes</v>
      </c>
      <c r="B67" s="36">
        <f>N67</f>
        <v>0</v>
      </c>
      <c r="C67" s="36">
        <f>O67</f>
        <v>21660</v>
      </c>
      <c r="D67" s="36">
        <f>P67</f>
        <v>21660</v>
      </c>
      <c r="E67" s="36">
        <f>Q67</f>
        <v>21660</v>
      </c>
      <c r="F67" s="36">
        <f>R67</f>
        <v>21660</v>
      </c>
      <c r="G67" s="36">
        <f>S67</f>
        <v>21660</v>
      </c>
      <c r="H67" s="36">
        <f>T67</f>
        <v>0</v>
      </c>
      <c r="I67" s="36">
        <f>U67</f>
        <v>21660</v>
      </c>
      <c r="J67" s="36">
        <f>V67</f>
        <v>21660</v>
      </c>
      <c r="K67" s="36">
        <f>W67</f>
        <v>21660</v>
      </c>
      <c r="L67" s="36">
        <f>X67</f>
        <v>21660</v>
      </c>
      <c r="M67" s="36">
        <f>Y67</f>
        <v>21660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21660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21660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21660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21660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21660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21660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21660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21660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21660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21660</v>
      </c>
      <c r="Z67" s="46">
        <f>SUMIF($B$13:$Y$13,"Yes",B67:Y67)</f>
        <v>216600</v>
      </c>
      <c r="AA67" s="46">
        <f>SUM(B67:M67)</f>
        <v>216600</v>
      </c>
      <c r="AB67" s="46">
        <f>SUM(B67:Y67)</f>
        <v>433200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2000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2000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2000</v>
      </c>
      <c r="AA72" s="46">
        <f>SUM(B72:M72)</f>
        <v>2000</v>
      </c>
      <c r="AB72" s="46">
        <f>SUM(B72:Y72)</f>
        <v>4000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</v>
      </c>
      <c r="C79" s="46">
        <f>Inputs!$B$31</f>
        <v>2000</v>
      </c>
      <c r="D79" s="46">
        <f>Inputs!$B$31</f>
        <v>2000</v>
      </c>
      <c r="E79" s="46">
        <f>Inputs!$B$31</f>
        <v>2000</v>
      </c>
      <c r="F79" s="46">
        <f>Inputs!$B$31</f>
        <v>2000</v>
      </c>
      <c r="G79" s="46">
        <f>Inputs!$B$31</f>
        <v>2000</v>
      </c>
      <c r="H79" s="46">
        <f>Inputs!$B$31</f>
        <v>2000</v>
      </c>
      <c r="I79" s="46">
        <f>Inputs!$B$31</f>
        <v>2000</v>
      </c>
      <c r="J79" s="46">
        <f>Inputs!$B$31</f>
        <v>2000</v>
      </c>
      <c r="K79" s="46">
        <f>Inputs!$B$31</f>
        <v>2000</v>
      </c>
      <c r="L79" s="46">
        <f>Inputs!$B$31</f>
        <v>2000</v>
      </c>
      <c r="M79" s="46">
        <f>Inputs!$B$31</f>
        <v>2000</v>
      </c>
      <c r="N79" s="46">
        <f>Inputs!$B$31</f>
        <v>2000</v>
      </c>
      <c r="O79" s="46">
        <f>Inputs!$B$31</f>
        <v>2000</v>
      </c>
      <c r="P79" s="46">
        <f>Inputs!$B$31</f>
        <v>2000</v>
      </c>
      <c r="Q79" s="46">
        <f>Inputs!$B$31</f>
        <v>2000</v>
      </c>
      <c r="R79" s="46">
        <f>Inputs!$B$31</f>
        <v>2000</v>
      </c>
      <c r="S79" s="46">
        <f>Inputs!$B$31</f>
        <v>2000</v>
      </c>
      <c r="T79" s="46">
        <f>Inputs!$B$31</f>
        <v>2000</v>
      </c>
      <c r="U79" s="46">
        <f>Inputs!$B$31</f>
        <v>2000</v>
      </c>
      <c r="V79" s="46">
        <f>Inputs!$B$31</f>
        <v>2000</v>
      </c>
      <c r="W79" s="46">
        <f>Inputs!$B$31</f>
        <v>2000</v>
      </c>
      <c r="X79" s="46">
        <f>Inputs!$B$31</f>
        <v>2000</v>
      </c>
      <c r="Y79" s="46">
        <f>Inputs!$B$31</f>
        <v>2000</v>
      </c>
      <c r="Z79" s="46">
        <f>SUMIF($B$13:$Y$13,"Yes",B79:Y79)</f>
        <v>26000</v>
      </c>
      <c r="AA79" s="46">
        <f>SUM(B79:M79)</f>
        <v>24000</v>
      </c>
      <c r="AB79" s="46">
        <f>SUM(B79:Y79)</f>
        <v>48000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-16286.66666666667</v>
      </c>
      <c r="C81" s="46">
        <f>(SUM($AA$18:$AA$29)-SUM($AA$36,$AA$42,$AA$48,$AA$54,$AA$60,$AA$66,$AA$72:$AA$79))*Parameters!$B$37/12</f>
        <v>-16286.66666666667</v>
      </c>
      <c r="D81" s="46">
        <f>(SUM($AA$18:$AA$29)-SUM($AA$36,$AA$42,$AA$48,$AA$54,$AA$60,$AA$66,$AA$72:$AA$79))*Parameters!$B$37/12</f>
        <v>-16286.66666666667</v>
      </c>
      <c r="E81" s="46">
        <f>(SUM($AA$18:$AA$29)-SUM($AA$36,$AA$42,$AA$48,$AA$54,$AA$60,$AA$66,$AA$72:$AA$79))*Parameters!$B$37/12</f>
        <v>-16286.66666666667</v>
      </c>
      <c r="F81" s="46">
        <f>(SUM($AA$18:$AA$29)-SUM($AA$36,$AA$42,$AA$48,$AA$54,$AA$60,$AA$66,$AA$72:$AA$79))*Parameters!$B$37/12</f>
        <v>-16286.66666666667</v>
      </c>
      <c r="G81" s="46">
        <f>(SUM($AA$18:$AA$29)-SUM($AA$36,$AA$42,$AA$48,$AA$54,$AA$60,$AA$66,$AA$72:$AA$79))*Parameters!$B$37/12</f>
        <v>-16286.66666666667</v>
      </c>
      <c r="H81" s="46">
        <f>(SUM($AA$18:$AA$29)-SUM($AA$36,$AA$42,$AA$48,$AA$54,$AA$60,$AA$66,$AA$72:$AA$79))*Parameters!$B$37/12</f>
        <v>-16286.66666666667</v>
      </c>
      <c r="I81" s="46">
        <f>(SUM($AA$18:$AA$29)-SUM($AA$36,$AA$42,$AA$48,$AA$54,$AA$60,$AA$66,$AA$72:$AA$79))*Parameters!$B$37/12</f>
        <v>-16286.66666666667</v>
      </c>
      <c r="J81" s="46">
        <f>(SUM($AA$18:$AA$29)-SUM($AA$36,$AA$42,$AA$48,$AA$54,$AA$60,$AA$66,$AA$72:$AA$79))*Parameters!$B$37/12</f>
        <v>-16286.66666666667</v>
      </c>
      <c r="K81" s="46">
        <f>(SUM($AA$18:$AA$29)-SUM($AA$36,$AA$42,$AA$48,$AA$54,$AA$60,$AA$66,$AA$72:$AA$79))*Parameters!$B$37/12</f>
        <v>-16286.66666666667</v>
      </c>
      <c r="L81" s="46">
        <f>(SUM($AA$18:$AA$29)-SUM($AA$36,$AA$42,$AA$48,$AA$54,$AA$60,$AA$66,$AA$72:$AA$79))*Parameters!$B$37/12</f>
        <v>-16286.66666666667</v>
      </c>
      <c r="M81" s="46">
        <f>(SUM($AA$18:$AA$29)-SUM($AA$36,$AA$42,$AA$48,$AA$54,$AA$60,$AA$66,$AA$72:$AA$79))*Parameters!$B$37/12</f>
        <v>-16286.66666666667</v>
      </c>
      <c r="N81" s="46">
        <f>(SUM($AA$18:$AA$29)-SUM($AA$36,$AA$42,$AA$48,$AA$54,$AA$60,$AA$66,$AA$72:$AA$79))*Parameters!$B$37/12</f>
        <v>-16286.66666666667</v>
      </c>
      <c r="O81" s="46">
        <f>(SUM($AA$18:$AA$29)-SUM($AA$36,$AA$42,$AA$48,$AA$54,$AA$60,$AA$66,$AA$72:$AA$79))*Parameters!$B$37/12</f>
        <v>-16286.66666666667</v>
      </c>
      <c r="P81" s="46">
        <f>(SUM($AA$18:$AA$29)-SUM($AA$36,$AA$42,$AA$48,$AA$54,$AA$60,$AA$66,$AA$72:$AA$79))*Parameters!$B$37/12</f>
        <v>-16286.66666666667</v>
      </c>
      <c r="Q81" s="46">
        <f>(SUM($AA$18:$AA$29)-SUM($AA$36,$AA$42,$AA$48,$AA$54,$AA$60,$AA$66,$AA$72:$AA$79))*Parameters!$B$37/12</f>
        <v>-16286.66666666667</v>
      </c>
      <c r="R81" s="46">
        <f>(SUM($AA$18:$AA$29)-SUM($AA$36,$AA$42,$AA$48,$AA$54,$AA$60,$AA$66,$AA$72:$AA$79))*Parameters!$B$37/12</f>
        <v>-16286.66666666667</v>
      </c>
      <c r="S81" s="46">
        <f>(SUM($AA$18:$AA$29)-SUM($AA$36,$AA$42,$AA$48,$AA$54,$AA$60,$AA$66,$AA$72:$AA$79))*Parameters!$B$37/12</f>
        <v>-16286.66666666667</v>
      </c>
      <c r="T81" s="46">
        <f>(SUM($AA$18:$AA$29)-SUM($AA$36,$AA$42,$AA$48,$AA$54,$AA$60,$AA$66,$AA$72:$AA$79))*Parameters!$B$37/12</f>
        <v>-16286.66666666667</v>
      </c>
      <c r="U81" s="46">
        <f>(SUM($AA$18:$AA$29)-SUM($AA$36,$AA$42,$AA$48,$AA$54,$AA$60,$AA$66,$AA$72:$AA$79))*Parameters!$B$37/12</f>
        <v>-16286.66666666667</v>
      </c>
      <c r="V81" s="46">
        <f>(SUM($AA$18:$AA$29)-SUM($AA$36,$AA$42,$AA$48,$AA$54,$AA$60,$AA$66,$AA$72:$AA$79))*Parameters!$B$37/12</f>
        <v>-16286.66666666667</v>
      </c>
      <c r="W81" s="46">
        <f>(SUM($AA$18:$AA$29)-SUM($AA$36,$AA$42,$AA$48,$AA$54,$AA$60,$AA$66,$AA$72:$AA$79))*Parameters!$B$37/12</f>
        <v>-16286.66666666667</v>
      </c>
      <c r="X81" s="46">
        <f>(SUM($AA$18:$AA$29)-SUM($AA$36,$AA$42,$AA$48,$AA$54,$AA$60,$AA$66,$AA$72:$AA$79))*Parameters!$B$37/12</f>
        <v>-16286.66666666667</v>
      </c>
      <c r="Y81" s="46">
        <f>(SUM($AA$18:$AA$29)-SUM($AA$36,$AA$42,$AA$48,$AA$54,$AA$60,$AA$66,$AA$72:$AA$79))*Parameters!$B$37/12</f>
        <v>-16286.66666666667</v>
      </c>
      <c r="Z81" s="46">
        <f>SUMIF($B$13:$Y$13,"Yes",B81:Y81)</f>
        <v>-211726.6666666666</v>
      </c>
      <c r="AA81" s="46">
        <f>SUM(B81:M81)</f>
        <v>-195440</v>
      </c>
      <c r="AB81" s="46">
        <f>SUM(B81:Y81)</f>
        <v>-390880.0000000001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-14286.66666666667</v>
      </c>
      <c r="C88" s="19">
        <f>SUM(C72:C82,C66,C60,C54,C48,C42,C36)</f>
        <v>267373.3333333334</v>
      </c>
      <c r="D88" s="19">
        <f>SUM(D72:D82,D66,D60,D54,D48,D42,D36)</f>
        <v>7373.333333333334</v>
      </c>
      <c r="E88" s="19">
        <f>SUM(E72:E82,E66,E60,E54,E48,E42,E36)</f>
        <v>52373.33333333334</v>
      </c>
      <c r="F88" s="19">
        <f>SUM(F72:F82,F66,F60,F54,F48,F42,F36)</f>
        <v>7373.333333333334</v>
      </c>
      <c r="G88" s="19">
        <f>SUM(G72:G82,G66,G60,G54,G48,G42,G36)</f>
        <v>7373.333333333334</v>
      </c>
      <c r="H88" s="19">
        <f>SUM(H72:H82,H66,H60,H54,H48,H42,H36)</f>
        <v>-14286.66666666667</v>
      </c>
      <c r="I88" s="19">
        <f>SUM(I72:I82,I66,I60,I54,I48,I42,I36)</f>
        <v>267373.3333333334</v>
      </c>
      <c r="J88" s="19">
        <f>SUM(J72:J82,J66,J60,J54,J48,J42,J36)</f>
        <v>7373.333333333334</v>
      </c>
      <c r="K88" s="19">
        <f>SUM(K72:K82,K66,K60,K54,K48,K42,K36)</f>
        <v>50373.33333333334</v>
      </c>
      <c r="L88" s="19">
        <f>SUM(L72:L82,L66,L60,L54,L48,L42,L36)</f>
        <v>7373.333333333334</v>
      </c>
      <c r="M88" s="19">
        <f>SUM(M72:M82,M66,M60,M54,M48,M42,M36)</f>
        <v>7373.333333333334</v>
      </c>
      <c r="N88" s="19">
        <f>SUM(N72:N82,N66,N60,N54,N48,N42,N36)</f>
        <v>-14286.66666666667</v>
      </c>
      <c r="O88" s="19">
        <f>SUM(O72:O82,O66,O60,O54,O48,O42,O36)</f>
        <v>267373.3333333334</v>
      </c>
      <c r="P88" s="19">
        <f>SUM(P72:P82,P66,P60,P54,P48,P42,P36)</f>
        <v>7373.333333333334</v>
      </c>
      <c r="Q88" s="19">
        <f>SUM(Q72:Q82,Q66,Q60,Q54,Q48,Q42,Q36)</f>
        <v>52373.33333333334</v>
      </c>
      <c r="R88" s="19">
        <f>SUM(R72:R82,R66,R60,R54,R48,R42,R36)</f>
        <v>7373.333333333334</v>
      </c>
      <c r="S88" s="19">
        <f>SUM(S72:S82,S66,S60,S54,S48,S42,S36)</f>
        <v>7373.333333333334</v>
      </c>
      <c r="T88" s="19">
        <f>SUM(T72:T82,T66,T60,T54,T48,T42,T36)</f>
        <v>-14286.66666666667</v>
      </c>
      <c r="U88" s="19">
        <f>SUM(U72:U82,U66,U60,U54,U48,U42,U36)</f>
        <v>267373.3333333334</v>
      </c>
      <c r="V88" s="19">
        <f>SUM(V72:V82,V66,V60,V54,V48,V42,V36)</f>
        <v>7373.333333333334</v>
      </c>
      <c r="W88" s="19">
        <f>SUM(W72:W82,W66,W60,W54,W48,W42,W36)</f>
        <v>50373.33333333334</v>
      </c>
      <c r="X88" s="19">
        <f>SUM(X72:X82,X66,X60,X54,X48,X42,X36)</f>
        <v>7373.333333333334</v>
      </c>
      <c r="Y88" s="19">
        <f>SUM(Y72:Y82,Y66,Y60,Y54,Y48,Y42,Y36)</f>
        <v>7373.333333333334</v>
      </c>
      <c r="Z88" s="19">
        <f>SUMIF($B$13:$Y$13,"Yes",B88:Y88)</f>
        <v>638873.3333333336</v>
      </c>
      <c r="AA88" s="19">
        <f>SUM(B88:M88)</f>
        <v>653160.0000000002</v>
      </c>
      <c r="AB88" s="19">
        <f>SUM(B88:Y88)</f>
        <v>1306320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150000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1700000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0</v>
      </c>
      <c r="P7" s="41"/>
    </row>
    <row r="8" spans="1:48">
      <c r="A8" s="143" t="s">
        <v>95</v>
      </c>
      <c r="B8" s="16"/>
      <c r="C8" s="143">
        <v>0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97</v>
      </c>
      <c r="J8" s="148" t="s">
        <v>98</v>
      </c>
      <c r="K8" s="138"/>
      <c r="L8" s="16"/>
      <c r="M8" s="165">
        <v>100</v>
      </c>
      <c r="N8" s="154">
        <v>0</v>
      </c>
    </row>
    <row r="9" spans="1:48">
      <c r="A9" s="143" t="s">
        <v>95</v>
      </c>
      <c r="B9" s="16"/>
      <c r="C9" s="143">
        <v>0</v>
      </c>
      <c r="D9" s="16"/>
      <c r="E9" s="147" t="s">
        <v>96</v>
      </c>
      <c r="F9" s="149" t="s">
        <v>91</v>
      </c>
      <c r="G9" s="147"/>
      <c r="H9" s="147" t="s">
        <v>92</v>
      </c>
      <c r="I9" s="147" t="s">
        <v>97</v>
      </c>
      <c r="J9" s="148" t="s">
        <v>98</v>
      </c>
      <c r="K9" s="138"/>
      <c r="L9" s="16"/>
      <c r="M9" s="165">
        <v>100</v>
      </c>
      <c r="N9" s="154">
        <v>0</v>
      </c>
    </row>
    <row r="10" spans="1:48">
      <c r="A10" s="143" t="s">
        <v>95</v>
      </c>
      <c r="B10" s="16"/>
      <c r="C10" s="143">
        <v>0</v>
      </c>
      <c r="D10" s="16">
        <v>0</v>
      </c>
      <c r="E10" s="147" t="s">
        <v>96</v>
      </c>
      <c r="F10" s="149" t="s">
        <v>91</v>
      </c>
      <c r="G10" s="147"/>
      <c r="H10" s="147" t="s">
        <v>92</v>
      </c>
      <c r="I10" s="147" t="s">
        <v>97</v>
      </c>
      <c r="J10" s="148" t="s">
        <v>98</v>
      </c>
      <c r="K10" s="138" t="s">
        <v>99</v>
      </c>
      <c r="L10" s="16">
        <v>0</v>
      </c>
      <c r="M10" s="165">
        <v>100</v>
      </c>
      <c r="N10" s="154">
        <v>0</v>
      </c>
    </row>
    <row r="11" spans="1:48">
      <c r="A11" s="144" t="s">
        <v>95</v>
      </c>
      <c r="B11" s="23"/>
      <c r="C11" s="144">
        <v>0</v>
      </c>
      <c r="D11" s="23"/>
      <c r="E11" s="150" t="s">
        <v>96</v>
      </c>
      <c r="F11" s="151" t="s">
        <v>91</v>
      </c>
      <c r="G11" s="150"/>
      <c r="H11" s="150" t="s">
        <v>92</v>
      </c>
      <c r="I11" s="150" t="s">
        <v>97</v>
      </c>
      <c r="J11" s="152" t="s">
        <v>98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100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101</v>
      </c>
      <c r="B18" s="10" t="s">
        <v>102</v>
      </c>
      <c r="C18" s="10" t="s">
        <v>103</v>
      </c>
      <c r="D18" s="10" t="s">
        <v>104</v>
      </c>
      <c r="E18" s="10" t="s">
        <v>105</v>
      </c>
      <c r="F18" s="10" t="s">
        <v>106</v>
      </c>
      <c r="G18" s="10" t="s">
        <v>107</v>
      </c>
      <c r="H18" s="10" t="s">
        <v>108</v>
      </c>
      <c r="I18" s="10" t="s">
        <v>109</v>
      </c>
      <c r="J18" s="10" t="s">
        <v>110</v>
      </c>
      <c r="K18" s="10" t="s">
        <v>111</v>
      </c>
      <c r="L18" s="10" t="s">
        <v>112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5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30000</v>
      </c>
    </row>
    <row r="31" spans="1:48">
      <c r="A31" s="5" t="s">
        <v>119</v>
      </c>
      <c r="B31" s="158">
        <v>2000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>
        <v>0</v>
      </c>
      <c r="C35" s="145" t="s">
        <v>125</v>
      </c>
      <c r="D35" s="49">
        <f>IFERROR(VLOOKUP(C35,Parameters!$C$79:$D$90,2,0),"")</f>
        <v>12</v>
      </c>
    </row>
    <row r="36" spans="1:48">
      <c r="A36" s="144"/>
      <c r="B36" s="158">
        <v>0</v>
      </c>
      <c r="C36" s="150" t="s">
        <v>125</v>
      </c>
      <c r="D36" s="49">
        <f>IFERROR(VLOOKUP(C36,Parameters!$C$79:$D$90,2,0),"")</f>
        <v>12</v>
      </c>
    </row>
    <row r="38" spans="1:48">
      <c r="A38" s="3" t="s">
        <v>126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127</v>
      </c>
      <c r="B40" s="160" t="s">
        <v>93</v>
      </c>
    </row>
    <row r="41" spans="1:48">
      <c r="A41" s="55" t="s">
        <v>128</v>
      </c>
      <c r="B41" s="140">
        <v>2000</v>
      </c>
    </row>
    <row r="42" spans="1:48">
      <c r="A42" s="55" t="s">
        <v>129</v>
      </c>
      <c r="B42" s="139" t="s">
        <v>130</v>
      </c>
    </row>
    <row r="43" spans="1:48">
      <c r="A43" s="55" t="s">
        <v>131</v>
      </c>
      <c r="B43" s="160" t="s">
        <v>132</v>
      </c>
    </row>
    <row r="44" spans="1:48">
      <c r="A44" s="56" t="s">
        <v>133</v>
      </c>
      <c r="B44" s="160" t="s">
        <v>92</v>
      </c>
    </row>
    <row r="45" spans="1:48">
      <c r="A45" s="56" t="s">
        <v>134</v>
      </c>
      <c r="B45" s="161">
        <v>1500000</v>
      </c>
    </row>
    <row r="46" spans="1:48" customHeight="1" ht="30">
      <c r="A46" s="57" t="s">
        <v>135</v>
      </c>
      <c r="B46" s="161">
        <v>150000</v>
      </c>
    </row>
    <row r="47" spans="1:48" customHeight="1" ht="30">
      <c r="A47" s="57" t="s">
        <v>136</v>
      </c>
      <c r="B47" s="161">
        <v>50000</v>
      </c>
    </row>
    <row r="48" spans="1:48" customHeight="1" ht="30">
      <c r="A48" s="57" t="s">
        <v>137</v>
      </c>
      <c r="B48" s="161">
        <v>0</v>
      </c>
    </row>
    <row r="49" spans="1:48" customHeight="1" ht="30">
      <c r="A49" s="57" t="s">
        <v>138</v>
      </c>
      <c r="B49" s="161">
        <v>0</v>
      </c>
    </row>
    <row r="50" spans="1:48">
      <c r="A50" s="43"/>
      <c r="B50" s="36"/>
    </row>
    <row r="51" spans="1:48">
      <c r="A51" s="58" t="s">
        <v>139</v>
      </c>
      <c r="B51" s="161">
        <v>0</v>
      </c>
    </row>
    <row r="52" spans="1:48">
      <c r="A52" s="43"/>
    </row>
    <row r="53" spans="1:48">
      <c r="A53" s="3" t="s">
        <v>140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141</v>
      </c>
      <c r="B55" s="10" t="s">
        <v>142</v>
      </c>
      <c r="C55" s="10" t="s">
        <v>143</v>
      </c>
      <c r="D55" s="10" t="s">
        <v>144</v>
      </c>
      <c r="E55" s="10" t="s">
        <v>145</v>
      </c>
      <c r="F55" s="10" t="s">
        <v>146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148</v>
      </c>
      <c r="C65" s="10" t="s">
        <v>149</v>
      </c>
    </row>
    <row r="66" spans="1:48">
      <c r="A66" s="142" t="s">
        <v>150</v>
      </c>
      <c r="B66" s="159">
        <v>722360</v>
      </c>
      <c r="C66" s="163">
        <v>652857</v>
      </c>
      <c r="D66" s="49">
        <f>INDEX(Parameters!$D$79:$D$90,MATCH(Inputs!A66,Parameters!$C$79:$C$90,0))</f>
        <v>8</v>
      </c>
    </row>
    <row r="67" spans="1:48">
      <c r="A67" s="143" t="s">
        <v>151</v>
      </c>
      <c r="B67" s="157">
        <v>519230</v>
      </c>
      <c r="C67" s="165">
        <v>474980</v>
      </c>
      <c r="D67" s="49">
        <f>INDEX(Parameters!$D$79:$D$90,MATCH(Inputs!A67,Parameters!$C$79:$C$90,0))</f>
        <v>7</v>
      </c>
    </row>
    <row r="68" spans="1:48">
      <c r="A68" s="143" t="s">
        <v>152</v>
      </c>
      <c r="B68" s="157">
        <v>442000</v>
      </c>
      <c r="C68" s="165">
        <v>406507</v>
      </c>
      <c r="D68" s="49">
        <f>INDEX(Parameters!$D$79:$D$90,MATCH(Inputs!A68,Parameters!$C$79:$C$90,0))</f>
        <v>6</v>
      </c>
    </row>
    <row r="69" spans="1:48">
      <c r="A69" s="143" t="s">
        <v>153</v>
      </c>
      <c r="B69" s="157">
        <v>333086</v>
      </c>
      <c r="C69" s="165">
        <v>310616</v>
      </c>
      <c r="D69" s="49">
        <f>INDEX(Parameters!$D$79:$D$90,MATCH(Inputs!A69,Parameters!$C$79:$C$90,0))</f>
        <v>5</v>
      </c>
    </row>
    <row r="70" spans="1:48">
      <c r="A70" s="143" t="s">
        <v>154</v>
      </c>
      <c r="B70" s="157">
        <v>438627</v>
      </c>
      <c r="C70" s="165">
        <v>392907</v>
      </c>
      <c r="D70" s="49">
        <f>INDEX(Parameters!$D$79:$D$90,MATCH(Inputs!A70,Parameters!$C$79:$C$90,0))</f>
        <v>4</v>
      </c>
    </row>
    <row r="71" spans="1:48">
      <c r="A71" s="144" t="s">
        <v>155</v>
      </c>
      <c r="B71" s="158">
        <v>353580</v>
      </c>
      <c r="C71" s="167">
        <v>313293</v>
      </c>
      <c r="D71" s="49">
        <f>INDEX(Parameters!$D$79:$D$90,MATCH(Inputs!A71,Parameters!$C$79:$C$90,0))</f>
        <v>3</v>
      </c>
    </row>
    <row r="73" spans="1:48">
      <c r="A73" s="3" t="s">
        <v>156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157</v>
      </c>
      <c r="B75" s="161">
        <v>14</v>
      </c>
    </row>
    <row r="76" spans="1:48">
      <c r="A76" t="s">
        <v>158</v>
      </c>
      <c r="B76" s="168" t="s">
        <v>159</v>
      </c>
    </row>
    <row r="78" spans="1:48" customHeight="1" ht="20.25">
      <c r="B78" s="127" t="s">
        <v>160</v>
      </c>
    </row>
    <row r="79" spans="1:48">
      <c r="A79" t="s">
        <v>161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162</v>
      </c>
      <c r="B80" s="168" t="s">
        <v>163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164</v>
      </c>
      <c r="B81" s="161">
        <v>200000</v>
      </c>
    </row>
    <row r="82" spans="1:48">
      <c r="A82" t="s">
        <v>165</v>
      </c>
      <c r="B82" s="161">
        <v>20</v>
      </c>
    </row>
    <row r="83" spans="1:48">
      <c r="A83" t="s">
        <v>166</v>
      </c>
      <c r="B83" s="169" t="s">
        <v>167</v>
      </c>
    </row>
    <row r="84" spans="1:48">
      <c r="A84" t="s">
        <v>168</v>
      </c>
      <c r="B84" s="169">
        <v>1</v>
      </c>
    </row>
    <row r="85" spans="1:48">
      <c r="A85" t="s">
        <v>169</v>
      </c>
      <c r="B85" s="169">
        <v>12</v>
      </c>
    </row>
    <row r="86" spans="1:48">
      <c r="A86" t="s">
        <v>170</v>
      </c>
      <c r="B86" s="161"/>
    </row>
    <row r="87" spans="1:48">
      <c r="A87" t="s">
        <v>171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172</v>
      </c>
      <c r="C3" s="15" t="s">
        <v>173</v>
      </c>
      <c r="D3" s="15" t="s">
        <v>174</v>
      </c>
      <c r="E3" s="15" t="s">
        <v>175</v>
      </c>
      <c r="F3" s="15" t="s">
        <v>176</v>
      </c>
      <c r="G3" s="15" t="s">
        <v>177</v>
      </c>
      <c r="H3" s="15" t="s">
        <v>178</v>
      </c>
      <c r="I3" s="15" t="s">
        <v>179</v>
      </c>
      <c r="J3" s="15" t="s">
        <v>180</v>
      </c>
      <c r="K3" s="15" t="s">
        <v>181</v>
      </c>
      <c r="L3" s="15" t="s">
        <v>182</v>
      </c>
      <c r="M3" s="15" t="s">
        <v>183</v>
      </c>
      <c r="N3" s="15" t="s">
        <v>184</v>
      </c>
      <c r="O3" s="15" t="s">
        <v>185</v>
      </c>
      <c r="P3" s="15" t="s">
        <v>186</v>
      </c>
      <c r="Q3" s="32" t="s">
        <v>187</v>
      </c>
      <c r="R3" s="15" t="s">
        <v>188</v>
      </c>
      <c r="S3" s="15" t="s">
        <v>189</v>
      </c>
      <c r="T3" s="15" t="s">
        <v>190</v>
      </c>
      <c r="U3" s="178" t="s">
        <v>87</v>
      </c>
      <c r="V3" s="32" t="s">
        <v>191</v>
      </c>
      <c r="W3" s="32" t="s">
        <v>192</v>
      </c>
      <c r="X3" s="32" t="s">
        <v>193</v>
      </c>
      <c r="Y3" s="32" t="s">
        <v>194</v>
      </c>
      <c r="Z3" s="32" t="s">
        <v>43</v>
      </c>
      <c r="AA3" s="32" t="s">
        <v>195</v>
      </c>
      <c r="AB3" s="32" t="s">
        <v>196</v>
      </c>
      <c r="AC3" s="59">
        <f>Output!B5</f>
        <v>43009</v>
      </c>
      <c r="AD3" s="59">
        <f>Output!C5</f>
        <v>43040</v>
      </c>
      <c r="AE3" s="59">
        <f>Output!D5</f>
        <v>43070</v>
      </c>
      <c r="AF3" s="59">
        <f>Output!E5</f>
        <v>43101</v>
      </c>
      <c r="AG3" s="59">
        <f>Output!F5</f>
        <v>43132</v>
      </c>
      <c r="AH3" s="59">
        <f>Output!G5</f>
        <v>43160</v>
      </c>
      <c r="AI3" s="59">
        <f>Output!H5</f>
        <v>43191</v>
      </c>
      <c r="AJ3" s="59">
        <f>Output!I5</f>
        <v>43221</v>
      </c>
      <c r="AK3" s="59">
        <f>Output!J5</f>
        <v>43252</v>
      </c>
      <c r="AL3" s="59">
        <f>Output!K5</f>
        <v>43282</v>
      </c>
      <c r="AM3" s="59">
        <f>Output!L5</f>
        <v>43313</v>
      </c>
      <c r="AN3" s="59">
        <f>Output!M5</f>
        <v>43344</v>
      </c>
      <c r="AO3" s="59">
        <f>Output!N5</f>
        <v>43374</v>
      </c>
      <c r="AP3" s="59">
        <f>Output!O5</f>
        <v>43405</v>
      </c>
      <c r="AQ3" s="59">
        <f>Output!P5</f>
        <v>43435</v>
      </c>
      <c r="AR3" s="59">
        <f>Output!Q5</f>
        <v>43466</v>
      </c>
      <c r="AS3" s="59">
        <f>Output!R5</f>
        <v>43497</v>
      </c>
      <c r="AT3" s="59">
        <f>Output!S5</f>
        <v>43525</v>
      </c>
      <c r="AU3" s="59">
        <f>Output!T5</f>
        <v>43556</v>
      </c>
      <c r="AV3" s="59">
        <f>Output!U5</f>
        <v>43586</v>
      </c>
      <c r="AW3" s="59">
        <f>Output!V5</f>
        <v>43617</v>
      </c>
      <c r="AX3" s="59">
        <f>Output!W5</f>
        <v>43647</v>
      </c>
      <c r="AY3" s="59">
        <f>Output!X5</f>
        <v>43678</v>
      </c>
      <c r="AZ3" s="59">
        <f>Output!Y5</f>
        <v>43709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43040</v>
      </c>
      <c r="C4" s="38">
        <f>IFERROR(DATE(YEAR(B4),MONTH(B4)+ROUND(T4/2,0),DAY(B4)),B4)</f>
        <v>43101</v>
      </c>
      <c r="D4" s="38">
        <f>IFERROR(DATE(YEAR(B4),MONTH(B4)+T4,DAY(B4)),"")</f>
        <v>43160</v>
      </c>
      <c r="E4" s="38">
        <f>IFERROR(IF($S4=0,"",IF($S4=2,DATE(YEAR(B4),MONTH(B4)+6,DAY(B4)),IF($S4=1,B4,""))),"")</f>
        <v>43221</v>
      </c>
      <c r="F4" s="38">
        <f>IFERROR(IF($S4=0,"",IF($S4=2,DATE(YEAR(C4),MONTH(C4)+6,DAY(C4)),IF($S4=1,C4,""))),"")</f>
        <v>43282</v>
      </c>
      <c r="G4" s="38">
        <f>IFERROR(IF($S4=0,"",IF($S4=2,DATE(YEAR(D4),MONTH(D4)+6,DAY(D4)),IF($S4=1,D4,""))),"")</f>
        <v>43344</v>
      </c>
      <c r="H4" s="20">
        <f>Inputs!C7</f>
        <v>10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4882.641078335685</v>
      </c>
      <c r="M4" s="25">
        <f>L4*H4</f>
        <v>48826.41078335685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240000</v>
      </c>
      <c r="W4" s="33">
        <f>IFERROR(J4*H4*Parameters!$B$35+IF(OR(Inputs!F7=Parameters!$E$78,Inputs!F7=Parameters!$E$80),Calculations!H4*Parameters!$B$36,0),0)</f>
        <v>20000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43000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114000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101</v>
      </c>
      <c r="B13" s="15" t="s">
        <v>35</v>
      </c>
      <c r="C13" s="15" t="s">
        <v>197</v>
      </c>
      <c r="D13" s="15" t="s">
        <v>198</v>
      </c>
      <c r="E13" s="15" t="s">
        <v>199</v>
      </c>
      <c r="F13" s="15" t="s">
        <v>200</v>
      </c>
      <c r="G13" s="15" t="s">
        <v>201</v>
      </c>
      <c r="H13" s="15" t="s">
        <v>202</v>
      </c>
      <c r="I13" s="15" t="s">
        <v>203</v>
      </c>
      <c r="J13" s="15" t="s">
        <v>204</v>
      </c>
      <c r="K13" s="15" t="s">
        <v>205</v>
      </c>
      <c r="L13" s="15" t="s">
        <v>206</v>
      </c>
      <c r="M13" s="178" t="s">
        <v>207</v>
      </c>
      <c r="N13" s="178" t="s">
        <v>208</v>
      </c>
      <c r="O13" s="62" t="s">
        <v>209</v>
      </c>
      <c r="P13" s="62" t="s">
        <v>210</v>
      </c>
      <c r="Q13" s="62" t="s">
        <v>211</v>
      </c>
      <c r="R13" s="62" t="s">
        <v>212</v>
      </c>
      <c r="S13" s="62" t="s">
        <v>213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141</v>
      </c>
      <c r="B22" s="74" t="s">
        <v>214</v>
      </c>
      <c r="C22" s="74" t="s">
        <v>215</v>
      </c>
      <c r="D22" s="74" t="s">
        <v>216</v>
      </c>
      <c r="E22" s="74" t="s">
        <v>217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219</v>
      </c>
      <c r="B32" s="129" t="s">
        <v>220</v>
      </c>
      <c r="C32" s="129" t="s">
        <v>221</v>
      </c>
      <c r="D32" s="129" t="s">
        <v>222</v>
      </c>
      <c r="F32" s="132" t="s">
        <v>223</v>
      </c>
      <c r="G32" s="132" t="s">
        <v>224</v>
      </c>
      <c r="I32" s="174" t="s">
        <v>225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43056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43040</v>
      </c>
      <c r="F33" t="s">
        <v>161</v>
      </c>
      <c r="G33" s="128">
        <f>IF(Inputs!B79="","",DATE(YEAR(Inputs!B79),MONTH(Inputs!B79),DAY(Inputs!B79)))</f>
        <v>43025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43086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43070</v>
      </c>
      <c r="F34" t="s">
        <v>162</v>
      </c>
      <c r="G34" s="128">
        <f>IF(Inputs!B80="","",DATE(YEAR(Inputs!B80),MONTH(Inputs!B80),DAY(Inputs!B80)))</f>
        <v>43056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43117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43101</v>
      </c>
      <c r="F35" t="s">
        <v>164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43148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43132</v>
      </c>
      <c r="F36" t="s">
        <v>165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43176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43160</v>
      </c>
      <c r="F37" t="s">
        <v>226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43207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43191</v>
      </c>
      <c r="F38" t="s">
        <v>227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43237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43221</v>
      </c>
      <c r="F39" t="s">
        <v>170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43268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43252</v>
      </c>
      <c r="F40" t="s">
        <v>171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43298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43282</v>
      </c>
      <c r="F41" t="s">
        <v>228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43329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43313</v>
      </c>
      <c r="F42" t="s">
        <v>229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43360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43344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43390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43374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0" t="s">
        <v>237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10" t="s">
        <v>246</v>
      </c>
      <c r="S3" s="10" t="s">
        <v>247</v>
      </c>
      <c r="T3" s="10" t="s">
        <v>248</v>
      </c>
      <c r="U3" s="10" t="s">
        <v>188</v>
      </c>
      <c r="V3" s="10" t="s">
        <v>186</v>
      </c>
      <c r="W3" s="10" t="s">
        <v>249</v>
      </c>
      <c r="X3" s="10" t="s">
        <v>250</v>
      </c>
      <c r="Y3" s="10" t="s">
        <v>251</v>
      </c>
      <c r="Z3" s="10" t="s">
        <v>252</v>
      </c>
      <c r="AA3" s="10" t="s">
        <v>253</v>
      </c>
      <c r="AB3" s="10" t="s">
        <v>254</v>
      </c>
      <c r="AC3" s="10" t="s">
        <v>255</v>
      </c>
      <c r="AD3" s="10" t="s">
        <v>256</v>
      </c>
      <c r="AE3" s="10" t="s">
        <v>257</v>
      </c>
      <c r="AF3" s="10" t="s">
        <v>258</v>
      </c>
      <c r="AG3" s="10" t="s">
        <v>259</v>
      </c>
      <c r="AH3" s="10" t="s">
        <v>260</v>
      </c>
      <c r="AI3" s="10" t="s">
        <v>261</v>
      </c>
    </row>
    <row r="4" spans="1:36" s="93" customFormat="1">
      <c r="A4" s="93" t="s">
        <v>262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101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202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296</v>
      </c>
      <c r="B24" s="21" t="s">
        <v>297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298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301</v>
      </c>
      <c r="B26" s="16" t="s">
        <v>297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297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297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297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101</v>
      </c>
      <c r="B41" s="191" t="s">
        <v>93</v>
      </c>
      <c r="C41" s="191" t="s">
        <v>92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296</v>
      </c>
      <c r="B43" s="72">
        <v>450</v>
      </c>
      <c r="C43" s="72">
        <v>250</v>
      </c>
    </row>
    <row r="44" spans="1:36">
      <c r="A44" t="s">
        <v>298</v>
      </c>
      <c r="B44" s="72">
        <v>50000</v>
      </c>
      <c r="C44" s="72">
        <v>200000</v>
      </c>
    </row>
    <row r="45" spans="1:36">
      <c r="A45" t="s">
        <v>301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272</v>
      </c>
      <c r="E52" s="12" t="s">
        <v>272</v>
      </c>
      <c r="F52" s="12" t="s">
        <v>272</v>
      </c>
      <c r="G52" s="12" t="s">
        <v>315</v>
      </c>
      <c r="H52" s="12" t="s">
        <v>316</v>
      </c>
      <c r="I52" s="12" t="s">
        <v>132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230</v>
      </c>
      <c r="E53" s="10" t="s">
        <v>189</v>
      </c>
      <c r="F53" s="10" t="s">
        <v>249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167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226</v>
      </c>
      <c r="J76" s="11" t="s">
        <v>349</v>
      </c>
      <c r="K76" s="11" t="s">
        <v>179</v>
      </c>
      <c r="AJ76" s="12"/>
    </row>
    <row r="77" spans="1:36">
      <c r="A77" t="s">
        <v>92</v>
      </c>
      <c r="B77" s="176">
        <v>0</v>
      </c>
      <c r="C77" s="12" t="s">
        <v>350</v>
      </c>
      <c r="E77" s="12" t="s">
        <v>93</v>
      </c>
      <c r="F77" s="12" t="s">
        <v>93</v>
      </c>
      <c r="G77" s="12" t="s">
        <v>351</v>
      </c>
      <c r="H77" s="12" t="s">
        <v>316</v>
      </c>
      <c r="I77" s="12" t="s">
        <v>352</v>
      </c>
      <c r="J77" s="136" t="s">
        <v>353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99</v>
      </c>
      <c r="D78" s="133"/>
      <c r="E78" s="12" t="s">
        <v>354</v>
      </c>
      <c r="F78" s="12" t="s">
        <v>355</v>
      </c>
      <c r="G78" s="12" t="s">
        <v>356</v>
      </c>
      <c r="H78" s="12" t="s">
        <v>132</v>
      </c>
      <c r="I78" s="12" t="s">
        <v>357</v>
      </c>
      <c r="J78" s="70" t="s">
        <v>358</v>
      </c>
      <c r="K78" s="12" t="s">
        <v>93</v>
      </c>
      <c r="AJ78" s="12"/>
    </row>
    <row r="79" spans="1:36">
      <c r="B79" s="176">
        <v>10</v>
      </c>
      <c r="C79" s="12" t="s">
        <v>130</v>
      </c>
      <c r="D79" s="12">
        <v>1</v>
      </c>
      <c r="E79" s="12" t="s">
        <v>359</v>
      </c>
      <c r="F79" s="12" t="s">
        <v>360</v>
      </c>
      <c r="G79" s="12" t="s">
        <v>361</v>
      </c>
      <c r="I79" s="12" t="s">
        <v>167</v>
      </c>
      <c r="J79" s="70" t="s">
        <v>90</v>
      </c>
      <c r="K79" s="12" t="s">
        <v>93</v>
      </c>
      <c r="AJ79" s="12"/>
    </row>
    <row r="80" spans="1:36">
      <c r="B80" s="176">
        <v>20</v>
      </c>
      <c r="C80" s="12" t="s">
        <v>362</v>
      </c>
      <c r="D80" s="12">
        <f>D79+1</f>
        <v>2</v>
      </c>
      <c r="E80" s="12" t="s">
        <v>91</v>
      </c>
      <c r="F80" s="12" t="s">
        <v>97</v>
      </c>
      <c r="J80" s="70" t="s">
        <v>363</v>
      </c>
      <c r="K80" s="12" t="s">
        <v>92</v>
      </c>
      <c r="AJ80" s="12"/>
    </row>
    <row r="81" spans="1:36">
      <c r="B81" s="176">
        <v>30</v>
      </c>
      <c r="C81" s="12" t="s">
        <v>155</v>
      </c>
      <c r="D81" s="12">
        <f>D80+1</f>
        <v>3</v>
      </c>
      <c r="J81" s="70" t="s">
        <v>96</v>
      </c>
      <c r="K81" s="12" t="s">
        <v>92</v>
      </c>
    </row>
    <row r="82" spans="1:36">
      <c r="B82" s="176">
        <v>40</v>
      </c>
      <c r="C82" s="12" t="s">
        <v>154</v>
      </c>
      <c r="D82" s="12">
        <f>D81+1</f>
        <v>4</v>
      </c>
      <c r="J82" s="70"/>
    </row>
    <row r="83" spans="1:36">
      <c r="B83" s="176">
        <v>50</v>
      </c>
      <c r="C83" s="12" t="s">
        <v>153</v>
      </c>
      <c r="D83" s="12">
        <f>D82+1</f>
        <v>5</v>
      </c>
    </row>
    <row r="84" spans="1:36">
      <c r="B84" s="176">
        <v>60</v>
      </c>
      <c r="C84" s="12" t="s">
        <v>152</v>
      </c>
      <c r="D84" s="12">
        <f>D83+1</f>
        <v>6</v>
      </c>
    </row>
    <row r="85" spans="1:36">
      <c r="B85" s="176">
        <v>70</v>
      </c>
      <c r="C85" s="12" t="s">
        <v>151</v>
      </c>
      <c r="D85" s="12">
        <f>D84+1</f>
        <v>7</v>
      </c>
    </row>
    <row r="86" spans="1:36">
      <c r="B86" s="176">
        <v>80</v>
      </c>
      <c r="C86" s="12" t="s">
        <v>150</v>
      </c>
      <c r="D86" s="12">
        <f>D85+1</f>
        <v>8</v>
      </c>
    </row>
    <row r="87" spans="1:36">
      <c r="B87" s="176">
        <v>89.99999999999999</v>
      </c>
      <c r="C87" s="12" t="s">
        <v>364</v>
      </c>
      <c r="D87" s="12">
        <f>D86+1</f>
        <v>9</v>
      </c>
    </row>
    <row r="88" spans="1:36">
      <c r="B88" s="176">
        <v>99.99999999999999</v>
      </c>
      <c r="C88" s="12" t="s">
        <v>365</v>
      </c>
      <c r="D88" s="12">
        <f>D87+1</f>
        <v>10</v>
      </c>
    </row>
    <row r="89" spans="1:36">
      <c r="C89" s="12" t="s">
        <v>94</v>
      </c>
      <c r="D89" s="12">
        <f>D88+1</f>
        <v>11</v>
      </c>
    </row>
    <row r="90" spans="1:36">
      <c r="C90" s="12" t="s">
        <v>125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