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<sst xmlns="http://schemas.openxmlformats.org/spreadsheetml/2006/main" uniqueCount="376">
  <si>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</si>
  <si>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</si>
  <si>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</si>
  <si>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</si>
  <si>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</si>
  <si>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</si>
  <si>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</si>
  <si>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</si>
  <si>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</si>
  <si>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</si>
  <si>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</si>
  <si>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</si>
  <si>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</si>
  <si>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</si>
  <si>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</si>
  <si>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</si>
  <si>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</si>
  <si>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</si>
  <si>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</si>
  <si>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</si>
  <si>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</si>
  <si>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</si>
  <si>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</si>
  <si>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</si>
  <si>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</si>
  <si>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</si>
  <si>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</si>
  <si>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</si>
  <si>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</si>
  <si>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</si>
  <si>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</si>
  <si>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</si>
  <si>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</si>
  <si>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</si>
  <si>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</si>
  <si>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</si>
  <si>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</si>
  <si>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</si>
  <si>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</si>
  <si>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</si>
  <si>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</si>
  <si>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</si>
  <si>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</si>
  <si>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</si>
  <si>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</si>
  <si>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</si>
  <si>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</si>
  <si>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</si>
  <si>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</si>
  <si>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</si>
  <si>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</si>
  <si>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</si>
  <si>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</si>
  <si>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</si>
  <si>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</si>
  <si>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</si>
  <si>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</si>
  <si>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</si>
  <si>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</si>
  <si>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</si>
  <si>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</si>
  <si>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</si>
  <si>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</si>
  <si>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</si>
  <si>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</si>
  <si>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</si>
  <si>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</si>
  <si>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</si>
  <si>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</si>
  <si>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</si>
  <si>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</si>
  <si>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</si>
  <si>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</si>
  <si>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</si>
  <si>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</si>
  <si>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</si>
  <si>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</si>
  <si>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</si>
  <si>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</si>
  <si>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</si>
  <si>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</si>
  <si>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</si>
  <si>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</si>
  <si>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</si>
  <si>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</si>
  <si>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</si>
  <si>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</si>
  <si>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</si>
  <si>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</si>
  <si>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</si>
  <si>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</si>
  <si>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</si>
  <si>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</si>
  <si>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</si>
  <si>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October</t>
  </si>
  <si>
    <t>Maize</t>
  </si>
  <si>
    <t>Home recycled</t>
  </si>
  <si>
    <t>No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</si>
  <si>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</si>
  <si>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</si>
  <si>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</si>
  <si>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</si>
  <si>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</si>
  <si>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</si>
  <si>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</si>
  <si>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</si>
  <si>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</si>
  <si>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</si>
  <si>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</si>
  <si>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</si>
  <si>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</si>
  <si>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</si>
  <si>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</si>
  <si>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</si>
  <si>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</si>
  <si>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</si>
  <si>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</si>
  <si>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</si>
  <si>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</si>
  <si>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</si>
  <si>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</si>
  <si>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</si>
  <si>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</si>
  <si>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</si>
  <si>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Assets and liabilities</t>
  </si>
  <si>
    <t>Is the land yours?</t>
  </si>
  <si>
    <t>Land rent amount/ year</t>
  </si>
  <si>
    <t>Month when land rent is paid</t>
  </si>
  <si>
    <t>September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</si>
  <si>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</si>
  <si>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</si>
  <si>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</si>
  <si>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</si>
  <si>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</si>
  <si>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</si>
  <si>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</si>
  <si>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</si>
  <si>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</si>
  <si>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</si>
  <si>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</si>
  <si>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</si>
  <si>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</si>
  <si>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</si>
  <si>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</si>
  <si>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</si>
  <si>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12/21/2010</t>
  </si>
  <si>
    <t>equity</t>
  </si>
  <si>
    <t>good loan repayment</t>
  </si>
  <si>
    <t>10/2/2014</t>
  </si>
  <si>
    <t>average loan repayment</t>
  </si>
  <si>
    <t>11/13/2016</t>
  </si>
  <si>
    <t>mobile</t>
  </si>
  <si>
    <t>10/17/2015</t>
  </si>
  <si>
    <t>10/17/2016</t>
  </si>
  <si>
    <t>poor loan repayment</t>
  </si>
  <si>
    <t>Mpesa &amp; bank cash flows (from past statements)</t>
  </si>
  <si>
    <t>Cash inflows</t>
  </si>
  <si>
    <t>Cash outflows</t>
  </si>
  <si>
    <t>November</t>
  </si>
  <si>
    <t>December</t>
  </si>
  <si>
    <t>January</t>
  </si>
  <si>
    <t>February</t>
  </si>
  <si>
    <t>March</t>
  </si>
  <si>
    <t>Loan info</t>
  </si>
  <si>
    <t>Branch ID</t>
  </si>
  <si>
    <t>Submission date</t>
  </si>
  <si>
    <t>2017/10/17</t>
  </si>
  <si>
    <t>Loan terms</t>
  </si>
  <si>
    <t>Expected disbursement date</t>
  </si>
  <si>
    <t>Expected first repayment date</t>
  </si>
  <si>
    <t>2017/11/17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</si>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</sst>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0.2037037037037037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-1402514.84658117</v>
      </c>
    </row>
    <row r="18" spans="1:7">
      <c r="B18" s="1" t="s">
        <v>12</v>
      </c>
      <c r="C18" s="36">
        <f>MIN(Output!B6:M6)</f>
        <v>-1221403.636190284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29117.82481006499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81128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-1221403.636190284</v>
      </c>
      <c r="C6" s="51">
        <f>C30-C88</f>
        <v>-30603.46090422073</v>
      </c>
      <c r="D6" s="51">
        <f>D30-D88</f>
        <v>-42603.46090422073</v>
      </c>
      <c r="E6" s="51">
        <f>E30-E88</f>
        <v>-30603.46090422073</v>
      </c>
      <c r="F6" s="51">
        <f>F30-F88</f>
        <v>-13073.49709024091</v>
      </c>
      <c r="G6" s="51">
        <f>G30-G88</f>
        <v>9013.878416887936</v>
      </c>
      <c r="H6" s="51">
        <f>H30-H88</f>
        <v>-8841.136190284014</v>
      </c>
      <c r="I6" s="51">
        <f>I30-I88</f>
        <v>29117.82481006499</v>
      </c>
      <c r="J6" s="51">
        <f>J30-J88</f>
        <v>23302.32481006499</v>
      </c>
      <c r="K6" s="51">
        <f>K30-K88</f>
        <v>-7989.175189935013</v>
      </c>
      <c r="L6" s="51">
        <f>L30-L88</f>
        <v>9540.788624044804</v>
      </c>
      <c r="M6" s="51">
        <f>M30-M88</f>
        <v>-118371.8358688264</v>
      </c>
      <c r="N6" s="51">
        <f>N30-N88</f>
        <v>-21403.63619028401</v>
      </c>
      <c r="O6" s="51">
        <f>O30-O88</f>
        <v>-30603.46090422073</v>
      </c>
      <c r="P6" s="51">
        <f>P30-P88</f>
        <v>-42603.46090422073</v>
      </c>
      <c r="Q6" s="51">
        <f>Q30-Q88</f>
        <v>-30603.46090422073</v>
      </c>
      <c r="R6" s="51">
        <f>R30-R88</f>
        <v>-13073.49709024091</v>
      </c>
      <c r="S6" s="51">
        <f>S30-S88</f>
        <v>9013.878416887936</v>
      </c>
      <c r="T6" s="51">
        <f>T30-T88</f>
        <v>-8841.136190284014</v>
      </c>
      <c r="U6" s="51">
        <f>U30-U88</f>
        <v>29117.82481006499</v>
      </c>
      <c r="V6" s="51">
        <f>V30-V88</f>
        <v>23302.32481006499</v>
      </c>
      <c r="W6" s="51">
        <f>W30-W88</f>
        <v>-7989.175189935013</v>
      </c>
      <c r="X6" s="51">
        <f>X30-X88</f>
        <v>9540.788624044804</v>
      </c>
      <c r="Y6" s="51">
        <f>Y30-Y88</f>
        <v>-118371.8358688264</v>
      </c>
      <c r="Z6" s="51">
        <f>SUMIF($B$13:$Y$13,"Yes",B6:Y6)</f>
        <v>-1423918.482771454</v>
      </c>
      <c r="AA6" s="51">
        <f>AA30-AA88</f>
        <v>-1402514.84658117</v>
      </c>
      <c r="AB6" s="51">
        <f>AB30-AB88</f>
        <v>-1605029.69316234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-10000</v>
      </c>
      <c r="D7" s="80">
        <f>IF(ISERROR(VLOOKUP(MONTH(D5),Inputs!$D$66:$D$71,1,0)),"",INDEX(Inputs!$B$66:$B$71,MATCH(MONTH(Output!D5),Inputs!$D$66:$D$71,0))-INDEX(Inputs!$C$66:$C$71,MATCH(MONTH(Output!D5),Inputs!$D$66:$D$71,0)))</f>
        <v>-6000</v>
      </c>
      <c r="E7" s="80">
        <f>IF(ISERROR(VLOOKUP(MONTH(E5),Inputs!$D$66:$D$71,1,0)),"",INDEX(Inputs!$B$66:$B$71,MATCH(MONTH(Output!E5),Inputs!$D$66:$D$71,0))-INDEX(Inputs!$C$66:$C$71,MATCH(MONTH(Output!E5),Inputs!$D$66:$D$71,0)))</f>
        <v>12000</v>
      </c>
      <c r="F7" s="80">
        <f>IF(ISERROR(VLOOKUP(MONTH(F5),Inputs!$D$66:$D$71,1,0)),"",INDEX(Inputs!$B$66:$B$71,MATCH(MONTH(Output!F5),Inputs!$D$66:$D$71,0))-INDEX(Inputs!$C$66:$C$71,MATCH(MONTH(Output!F5),Inputs!$D$66:$D$71,0)))</f>
        <v>40000</v>
      </c>
      <c r="G7" s="80">
        <f>IF(ISERROR(VLOOKUP(MONTH(G5),Inputs!$D$66:$D$71,1,0)),"",INDEX(Inputs!$B$66:$B$71,MATCH(MONTH(Output!G5),Inputs!$D$66:$D$71,0))-INDEX(Inputs!$C$66:$C$71,MATCH(MONTH(Output!G5),Inputs!$D$66:$D$71,0)))</f>
        <v>480000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-10000</v>
      </c>
      <c r="P7" s="80">
        <f>IF(ISERROR(VLOOKUP(MONTH(P5),Inputs!$D$66:$D$71,1,0)),"",INDEX(Inputs!$B$66:$B$71,MATCH(MONTH(Output!P5),Inputs!$D$66:$D$71,0))-INDEX(Inputs!$C$66:$C$71,MATCH(MONTH(Output!P5),Inputs!$D$66:$D$71,0)))</f>
        <v>-6000</v>
      </c>
      <c r="Q7" s="80">
        <f>IF(ISERROR(VLOOKUP(MONTH(Q5),Inputs!$D$66:$D$71,1,0)),"",INDEX(Inputs!$B$66:$B$71,MATCH(MONTH(Output!Q5),Inputs!$D$66:$D$71,0))-INDEX(Inputs!$C$66:$C$71,MATCH(MONTH(Output!Q5),Inputs!$D$66:$D$71,0)))</f>
        <v>12000</v>
      </c>
      <c r="R7" s="80">
        <f>IF(ISERROR(VLOOKUP(MONTH(R5),Inputs!$D$66:$D$71,1,0)),"",INDEX(Inputs!$B$66:$B$71,MATCH(MONTH(Output!R5),Inputs!$D$66:$D$71,0))-INDEX(Inputs!$C$66:$C$71,MATCH(MONTH(Output!R5),Inputs!$D$66:$D$71,0)))</f>
        <v>40000</v>
      </c>
      <c r="S7" s="80">
        <f>IF(ISERROR(VLOOKUP(MONTH(S5),Inputs!$D$66:$D$71,1,0)),"",INDEX(Inputs!$B$66:$B$71,MATCH(MONTH(Output!S5),Inputs!$D$66:$D$71,0))-INDEX(Inputs!$C$66:$C$71,MATCH(MONTH(Output!S5),Inputs!$D$66:$D$71,0)))</f>
        <v>480000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-921403.6361902838</v>
      </c>
      <c r="C11" s="80">
        <f>C6+C9-C10</f>
        <v>-60603.46090422073</v>
      </c>
      <c r="D11" s="80">
        <f>D6+D9-D10</f>
        <v>-72603.46090422073</v>
      </c>
      <c r="E11" s="80">
        <f>E6+E9-E10</f>
        <v>-60603.46090422073</v>
      </c>
      <c r="F11" s="80">
        <f>F6+F9-F10</f>
        <v>-43073.49709024091</v>
      </c>
      <c r="G11" s="80">
        <f>G6+G9-G10</f>
        <v>-20986.12158311206</v>
      </c>
      <c r="H11" s="80">
        <f>H6+H9-H10</f>
        <v>-38841.13619028401</v>
      </c>
      <c r="I11" s="80">
        <f>I6+I9-I10</f>
        <v>-882.1751899350129</v>
      </c>
      <c r="J11" s="80">
        <f>J6+J9-J10</f>
        <v>-6697.675189935013</v>
      </c>
      <c r="K11" s="80">
        <f>K6+K9-K10</f>
        <v>-37989.17518993501</v>
      </c>
      <c r="L11" s="80">
        <f>L6+L9-L10</f>
        <v>-20459.21137595519</v>
      </c>
      <c r="M11" s="80">
        <f>M6+M9-M10</f>
        <v>-148371.8358688264</v>
      </c>
      <c r="N11" s="80">
        <f>N6+N9-N10</f>
        <v>-51403.63619028401</v>
      </c>
      <c r="O11" s="80">
        <f>O6+O9-O10</f>
        <v>-30603.46090422073</v>
      </c>
      <c r="P11" s="80">
        <f>P6+P9-P10</f>
        <v>-42603.46090422073</v>
      </c>
      <c r="Q11" s="80">
        <f>Q6+Q9-Q10</f>
        <v>-30603.46090422073</v>
      </c>
      <c r="R11" s="80">
        <f>R6+R9-R10</f>
        <v>-13073.49709024091</v>
      </c>
      <c r="S11" s="80">
        <f>S6+S9-S10</f>
        <v>9013.878416887936</v>
      </c>
      <c r="T11" s="80">
        <f>T6+T9-T10</f>
        <v>-8841.136190284014</v>
      </c>
      <c r="U11" s="80">
        <f>U6+U9-U10</f>
        <v>29117.82481006499</v>
      </c>
      <c r="V11" s="80">
        <f>V6+V9-V10</f>
        <v>23302.32481006499</v>
      </c>
      <c r="W11" s="80">
        <f>W6+W9-W10</f>
        <v>-7989.175189935013</v>
      </c>
      <c r="X11" s="80">
        <f>X6+X9-X10</f>
        <v>9540.788624044804</v>
      </c>
      <c r="Y11" s="80">
        <f>Y6+Y9-Y10</f>
        <v>-118371.8358688264</v>
      </c>
      <c r="Z11" s="85">
        <f>SUMIF($B$13:$Y$13,"Yes",B11:Y11)</f>
        <v>-1483918.482771453</v>
      </c>
      <c r="AA11" s="80">
        <f>SUM(B11:M11)</f>
        <v>-1432514.846581169</v>
      </c>
      <c r="AB11" s="46">
        <f>SUM(B11:Y11)</f>
        <v>-1665029.693162339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22229.82471393672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18524.8539282806</v>
      </c>
      <c r="G18" s="36">
        <f>S18</f>
        <v>20377.33932110866</v>
      </c>
      <c r="H18" s="36">
        <f>T18</f>
        <v>22229.82471393672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18524.8539282806</v>
      </c>
      <c r="M18" s="36">
        <f>Y18</f>
        <v>20377.33932110866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22229.82471393672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18524.8539282806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20377.33932110866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22229.82471393672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18524.8539282806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20377.33932110866</v>
      </c>
      <c r="Z18" s="36">
        <f>SUMIF($B$13:$Y$13,"Yes",B18:Y18)</f>
        <v>144493.8606405887</v>
      </c>
      <c r="AA18" s="36">
        <f>SUM(B18:M18)</f>
        <v>122264.035926652</v>
      </c>
      <c r="AB18" s="36">
        <f>SUM(B18:Y18)</f>
        <v>244528.0718533039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30922.5</v>
      </c>
      <c r="I19" s="36">
        <f>U19</f>
        <v>37107</v>
      </c>
      <c r="J19" s="36">
        <f>V19</f>
        <v>43291.5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30922.5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37107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43291.5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111321</v>
      </c>
      <c r="AA19" s="36">
        <f>SUM(B19:M19)</f>
        <v>111321</v>
      </c>
      <c r="AB19" s="36">
        <f>SUM(B19:Y19)</f>
        <v>222642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22229.82471393672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18524.8539282806</v>
      </c>
      <c r="G30" s="19">
        <f>SUM(G18:G29)</f>
        <v>20377.33932110866</v>
      </c>
      <c r="H30" s="19">
        <f>SUM(H18:H29)</f>
        <v>53152.32471393672</v>
      </c>
      <c r="I30" s="19">
        <f>SUM(I18:I29)</f>
        <v>37107</v>
      </c>
      <c r="J30" s="19">
        <f>SUM(J18:J29)</f>
        <v>43291.5</v>
      </c>
      <c r="K30" s="19">
        <f>SUM(K18:K29)</f>
        <v>0</v>
      </c>
      <c r="L30" s="19">
        <f>SUM(L18:L29)</f>
        <v>18524.8539282806</v>
      </c>
      <c r="M30" s="19">
        <f>SUM(M18:M29)</f>
        <v>20377.33932110866</v>
      </c>
      <c r="N30" s="19">
        <f>SUM(N18:N29)</f>
        <v>22229.82471393672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18524.8539282806</v>
      </c>
      <c r="S30" s="19">
        <f>SUM(S18:S29)</f>
        <v>20377.33932110866</v>
      </c>
      <c r="T30" s="19">
        <f>SUM(T18:T29)</f>
        <v>53152.32471393672</v>
      </c>
      <c r="U30" s="19">
        <f>SUM(U18:U29)</f>
        <v>37107</v>
      </c>
      <c r="V30" s="19">
        <f>SUM(V18:V29)</f>
        <v>43291.5</v>
      </c>
      <c r="W30" s="19">
        <f>SUM(W18:W29)</f>
        <v>0</v>
      </c>
      <c r="X30" s="19">
        <f>SUM(X18:X29)</f>
        <v>18524.8539282806</v>
      </c>
      <c r="Y30" s="19">
        <f>SUM(Y18:Y29)</f>
        <v>20377.33932110866</v>
      </c>
      <c r="Z30" s="19">
        <f>SUMIF($B$13:$Y$13,"Yes",B30:Y30)</f>
        <v>255814.8606405887</v>
      </c>
      <c r="AA30" s="19">
        <f>SUM(B30:M30)</f>
        <v>233585.035926652</v>
      </c>
      <c r="AB30" s="19">
        <f>SUM(B30:Y30)</f>
        <v>467170.0718533039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13030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10000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13030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10000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36060</v>
      </c>
      <c r="AA42" s="36">
        <f>SUM(B42:M42)</f>
        <v>23030</v>
      </c>
      <c r="AB42" s="36">
        <f>SUM(B42:Y42)</f>
        <v>46060</v>
      </c>
    </row>
    <row r="43" spans="1:30" hidden="true" outlineLevel="1">
      <c r="A43" s="181" t="str">
        <f>Calculations!$A$4</f>
        <v>Beans</v>
      </c>
      <c r="B43" s="36">
        <f>N43</f>
        <v>10000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10000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10000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10000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30000</v>
      </c>
      <c r="AA43" s="36">
        <f>SUM(B43:M43)</f>
        <v>20000</v>
      </c>
      <c r="AB43" s="36">
        <f>SUM(B43:Y43)</f>
        <v>40000</v>
      </c>
    </row>
    <row r="44" spans="1:30" hidden="true" outlineLevel="1">
      <c r="A44" s="181" t="str">
        <f>Calculations!$A$5</f>
        <v>Maize</v>
      </c>
      <c r="B44" s="36">
        <f>N44</f>
        <v>3030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6060.000000000001</v>
      </c>
      <c r="AA44" s="36">
        <f>SUM(B44:M44)</f>
        <v>3030</v>
      </c>
      <c r="AB44" s="36">
        <f>SUM(B44:Y44)</f>
        <v>6060.000000000001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12000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12000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12000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12000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24000</v>
      </c>
      <c r="AA48" s="46">
        <f>SUM(B48:M48)</f>
        <v>24000</v>
      </c>
      <c r="AB48" s="46">
        <f>SUM(B48:Y48)</f>
        <v>48000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12000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12000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12000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12000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24000</v>
      </c>
      <c r="AA49" s="46">
        <f>SUM(B49:M49)</f>
        <v>24000</v>
      </c>
      <c r="AB49" s="46">
        <f>SUM(B49:Y49)</f>
        <v>48000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994.8901143007844</v>
      </c>
      <c r="G54" s="36">
        <f>S54</f>
        <v>0</v>
      </c>
      <c r="H54" s="36">
        <f>T54</f>
        <v>21390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994.8901143007844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994.8901143007844</v>
      </c>
      <c r="S54" s="46">
        <f>SUM(S55:S59)</f>
        <v>0</v>
      </c>
      <c r="T54" s="46">
        <f>SUM(T55:T59)</f>
        <v>21390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994.8901143007844</v>
      </c>
      <c r="Y54" s="46">
        <f>SUM(Y55:Y59)</f>
        <v>0</v>
      </c>
      <c r="Z54" s="46">
        <f>SUMIF($B$13:$Y$13,"Yes",B54:Y54)</f>
        <v>23379.78022860157</v>
      </c>
      <c r="AA54" s="46">
        <f>SUM(B54:M54)</f>
        <v>23379.78022860157</v>
      </c>
      <c r="AB54" s="46">
        <f>SUM(B54:Y54)</f>
        <v>46759.56045720314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994.8901143007844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994.8901143007844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994.8901143007844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994.8901143007844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1989.780228601569</v>
      </c>
      <c r="AA55" s="46">
        <f>SUM(B55:M55)</f>
        <v>1989.780228601569</v>
      </c>
      <c r="AB55" s="46">
        <f>SUM(B55:Y55)</f>
        <v>3979.560457203138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21390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21390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21390</v>
      </c>
      <c r="AA56" s="46">
        <f>SUM(B56:M56)</f>
        <v>21390</v>
      </c>
      <c r="AB56" s="46">
        <f>SUM(B56:Y56)</f>
        <v>42780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11942.85714285714</v>
      </c>
      <c r="C60" s="36">
        <f>O60</f>
        <v>11942.85714285714</v>
      </c>
      <c r="D60" s="36">
        <f>P60</f>
        <v>11942.85714285714</v>
      </c>
      <c r="E60" s="36">
        <f>Q60</f>
        <v>11942.85714285714</v>
      </c>
      <c r="F60" s="36">
        <f>R60</f>
        <v>11942.85714285714</v>
      </c>
      <c r="G60" s="36">
        <f>S60</f>
        <v>7142.857142857143</v>
      </c>
      <c r="H60" s="36">
        <f>T60</f>
        <v>11942.85714285714</v>
      </c>
      <c r="I60" s="36">
        <f>U60</f>
        <v>4800</v>
      </c>
      <c r="J60" s="36">
        <f>V60</f>
        <v>4800</v>
      </c>
      <c r="K60" s="36">
        <f>W60</f>
        <v>4800</v>
      </c>
      <c r="L60" s="36">
        <f>X60</f>
        <v>4800</v>
      </c>
      <c r="M60" s="36">
        <f>Y60</f>
        <v>0</v>
      </c>
      <c r="N60" s="46">
        <f>SUM(N61:N65)</f>
        <v>11942.85714285714</v>
      </c>
      <c r="O60" s="46">
        <f>SUM(O61:O65)</f>
        <v>11942.85714285714</v>
      </c>
      <c r="P60" s="46">
        <f>SUM(P61:P65)</f>
        <v>11942.85714285714</v>
      </c>
      <c r="Q60" s="46">
        <f>SUM(Q61:Q65)</f>
        <v>11942.85714285714</v>
      </c>
      <c r="R60" s="46">
        <f>SUM(R61:R65)</f>
        <v>11942.85714285714</v>
      </c>
      <c r="S60" s="46">
        <f>SUM(S61:S65)</f>
        <v>7142.857142857143</v>
      </c>
      <c r="T60" s="46">
        <f>SUM(T61:T65)</f>
        <v>11942.85714285714</v>
      </c>
      <c r="U60" s="46">
        <f>SUM(U61:U65)</f>
        <v>4800</v>
      </c>
      <c r="V60" s="46">
        <f>SUM(V61:V65)</f>
        <v>4800</v>
      </c>
      <c r="W60" s="46">
        <f>SUM(W61:W65)</f>
        <v>4800</v>
      </c>
      <c r="X60" s="46">
        <f>SUM(X61:X65)</f>
        <v>4800</v>
      </c>
      <c r="Y60" s="46">
        <f>SUM(Y61:Y65)</f>
        <v>0</v>
      </c>
      <c r="Z60" s="46">
        <f>SUMIF($B$13:$Y$13,"Yes",B60:Y60)</f>
        <v>109942.8571428571</v>
      </c>
      <c r="AA60" s="46">
        <f>SUM(B60:M60)</f>
        <v>98000</v>
      </c>
      <c r="AB60" s="46">
        <f>SUM(B60:Y60)</f>
        <v>195999.9999999999</v>
      </c>
    </row>
    <row r="61" spans="1:30" hidden="true" outlineLevel="1">
      <c r="A61" s="181" t="str">
        <f>Calculations!$A$4</f>
        <v>Beans</v>
      </c>
      <c r="B61" s="36">
        <f>N61</f>
        <v>4800</v>
      </c>
      <c r="C61" s="36">
        <f>O61</f>
        <v>4800</v>
      </c>
      <c r="D61" s="36">
        <f>P61</f>
        <v>4800</v>
      </c>
      <c r="E61" s="36">
        <f>Q61</f>
        <v>4800</v>
      </c>
      <c r="F61" s="36">
        <f>R61</f>
        <v>4800</v>
      </c>
      <c r="G61" s="36">
        <f>S61</f>
        <v>0</v>
      </c>
      <c r="H61" s="36">
        <f>T61</f>
        <v>4800</v>
      </c>
      <c r="I61" s="36">
        <f>U61</f>
        <v>4800</v>
      </c>
      <c r="J61" s="36">
        <f>V61</f>
        <v>4800</v>
      </c>
      <c r="K61" s="36">
        <f>W61</f>
        <v>4800</v>
      </c>
      <c r="L61" s="36">
        <f>X61</f>
        <v>4800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4800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4800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4800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4800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4800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4800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4800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4800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4800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4800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52800</v>
      </c>
      <c r="AA61" s="46">
        <f>SUM(B61:M61)</f>
        <v>48000</v>
      </c>
      <c r="AB61" s="46">
        <f>SUM(B61:Y61)</f>
        <v>96000</v>
      </c>
    </row>
    <row r="62" spans="1:30" hidden="true" outlineLevel="1">
      <c r="A62" s="181" t="str">
        <f>Calculations!$A$5</f>
        <v>Maize</v>
      </c>
      <c r="B62" s="36">
        <f>N62</f>
        <v>7142.857142857143</v>
      </c>
      <c r="C62" s="36">
        <f>O62</f>
        <v>7142.857142857143</v>
      </c>
      <c r="D62" s="36">
        <f>P62</f>
        <v>7142.857142857143</v>
      </c>
      <c r="E62" s="36">
        <f>Q62</f>
        <v>7142.857142857143</v>
      </c>
      <c r="F62" s="36">
        <f>R62</f>
        <v>7142.857142857143</v>
      </c>
      <c r="G62" s="36">
        <f>S62</f>
        <v>7142.857142857143</v>
      </c>
      <c r="H62" s="36">
        <f>T62</f>
        <v>7142.857142857143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7142.857142857143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7142.857142857143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7142.857142857143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7142.857142857143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7142.857142857143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7142.857142857143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7142.857142857143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57142.85714285715</v>
      </c>
      <c r="AA62" s="46">
        <f>SUM(B62:M62)</f>
        <v>50000.00000000001</v>
      </c>
      <c r="AB62" s="46">
        <f>SUM(B62:Y62)</f>
        <v>100000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29911.42857142857</v>
      </c>
      <c r="C66" s="36">
        <f>O66</f>
        <v>29911.42857142857</v>
      </c>
      <c r="D66" s="36">
        <f>P66</f>
        <v>29911.42857142857</v>
      </c>
      <c r="E66" s="36">
        <f>Q66</f>
        <v>29911.42857142857</v>
      </c>
      <c r="F66" s="36">
        <f>R66</f>
        <v>29911.42857142857</v>
      </c>
      <c r="G66" s="36">
        <f>S66</f>
        <v>15471.42857142857</v>
      </c>
      <c r="H66" s="36">
        <f>T66</f>
        <v>29911.42857142857</v>
      </c>
      <c r="I66" s="36">
        <f>U66</f>
        <v>14440</v>
      </c>
      <c r="J66" s="36">
        <f>V66</f>
        <v>14440</v>
      </c>
      <c r="K66" s="36">
        <f>W66</f>
        <v>14440</v>
      </c>
      <c r="L66" s="36">
        <f>X66</f>
        <v>14440</v>
      </c>
      <c r="M66" s="36">
        <f>Y66</f>
        <v>0</v>
      </c>
      <c r="N66" s="46">
        <f>SUM(N67:N71)</f>
        <v>29911.42857142857</v>
      </c>
      <c r="O66" s="46">
        <f>SUM(O67:O71)</f>
        <v>29911.42857142857</v>
      </c>
      <c r="P66" s="46">
        <f>SUM(P67:P71)</f>
        <v>29911.42857142857</v>
      </c>
      <c r="Q66" s="46">
        <f>SUM(Q67:Q71)</f>
        <v>29911.42857142857</v>
      </c>
      <c r="R66" s="46">
        <f>SUM(R67:R71)</f>
        <v>29911.42857142857</v>
      </c>
      <c r="S66" s="46">
        <f>SUM(S67:S71)</f>
        <v>15471.42857142857</v>
      </c>
      <c r="T66" s="46">
        <f>SUM(T67:T71)</f>
        <v>29911.42857142857</v>
      </c>
      <c r="U66" s="46">
        <f>SUM(U67:U71)</f>
        <v>14440</v>
      </c>
      <c r="V66" s="46">
        <f>SUM(V67:V71)</f>
        <v>14440</v>
      </c>
      <c r="W66" s="46">
        <f>SUM(W67:W71)</f>
        <v>14440</v>
      </c>
      <c r="X66" s="46">
        <f>SUM(X67:X71)</f>
        <v>14440</v>
      </c>
      <c r="Y66" s="46">
        <f>SUM(Y67:Y71)</f>
        <v>0</v>
      </c>
      <c r="Z66" s="46">
        <f>SUMIF($B$13:$Y$13,"Yes",B66:Y66)</f>
        <v>282611.4285714286</v>
      </c>
      <c r="AA66" s="46">
        <f>SUM(B66:M66)</f>
        <v>252700</v>
      </c>
      <c r="AB66" s="46">
        <f>SUM(B66:Y66)</f>
        <v>505400.0000000001</v>
      </c>
    </row>
    <row r="67" spans="1:30" hidden="true" outlineLevel="1">
      <c r="A67" s="181" t="str">
        <f>Calculations!$A$4</f>
        <v>Beans</v>
      </c>
      <c r="B67" s="36">
        <f>N67</f>
        <v>14440</v>
      </c>
      <c r="C67" s="36">
        <f>O67</f>
        <v>14440</v>
      </c>
      <c r="D67" s="36">
        <f>P67</f>
        <v>14440</v>
      </c>
      <c r="E67" s="36">
        <f>Q67</f>
        <v>14440</v>
      </c>
      <c r="F67" s="36">
        <f>R67</f>
        <v>14440</v>
      </c>
      <c r="G67" s="36">
        <f>S67</f>
        <v>0</v>
      </c>
      <c r="H67" s="36">
        <f>T67</f>
        <v>14440</v>
      </c>
      <c r="I67" s="36">
        <f>U67</f>
        <v>14440</v>
      </c>
      <c r="J67" s="36">
        <f>V67</f>
        <v>14440</v>
      </c>
      <c r="K67" s="36">
        <f>W67</f>
        <v>14440</v>
      </c>
      <c r="L67" s="36">
        <f>X67</f>
        <v>14440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14440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14440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14440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14440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14440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14440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14440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14440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14440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14440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158840</v>
      </c>
      <c r="AA67" s="46">
        <f>SUM(B67:M67)</f>
        <v>144400</v>
      </c>
      <c r="AB67" s="46">
        <f>SUM(B67:Y67)</f>
        <v>288800</v>
      </c>
    </row>
    <row r="68" spans="1:30" hidden="true" outlineLevel="1">
      <c r="A68" s="181" t="str">
        <f>Calculations!$A$5</f>
        <v>Maize</v>
      </c>
      <c r="B68" s="36">
        <f>N68</f>
        <v>15471.42857142857</v>
      </c>
      <c r="C68" s="36">
        <f>O68</f>
        <v>15471.42857142857</v>
      </c>
      <c r="D68" s="36">
        <f>P68</f>
        <v>15471.42857142857</v>
      </c>
      <c r="E68" s="36">
        <f>Q68</f>
        <v>15471.42857142857</v>
      </c>
      <c r="F68" s="36">
        <f>R68</f>
        <v>15471.42857142857</v>
      </c>
      <c r="G68" s="36">
        <f>S68</f>
        <v>15471.42857142857</v>
      </c>
      <c r="H68" s="36">
        <f>T68</f>
        <v>15471.42857142857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15471.42857142857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15471.42857142857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15471.42857142857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15471.42857142857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15471.42857142857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15471.42857142857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15471.42857142857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123771.4285714286</v>
      </c>
      <c r="AA68" s="46">
        <f>SUM(B68:M68)</f>
        <v>108300</v>
      </c>
      <c r="AB68" s="46">
        <f>SUM(B68:Y68)</f>
        <v>216600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150000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150000</v>
      </c>
      <c r="Z72" s="46">
        <f>SUMIF($B$13:$Y$13,"Yes",B72:Y72)</f>
        <v>150000</v>
      </c>
      <c r="AA72" s="46">
        <f>SUM(B72:M72)</f>
        <v>150000</v>
      </c>
      <c r="AB72" s="46">
        <f>SUM(B72:Y72)</f>
        <v>300000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1200000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1200000</v>
      </c>
      <c r="AA80" s="46">
        <f>SUM(B80:M80)</f>
        <v>1200000</v>
      </c>
      <c r="AB80" s="46">
        <f>SUM(B80:Y80)</f>
        <v>1200000</v>
      </c>
    </row>
    <row r="81" spans="1:30">
      <c r="A81" s="43" t="s">
        <v>51</v>
      </c>
      <c r="B81" s="46">
        <f>(SUM($AA$18:$AA$29)-SUM($AA$36,$AA$42,$AA$48,$AA$54,$AA$60,$AA$66,$AA$72:$AA$79))*Parameters!$B$37/12</f>
        <v>-11250.82481006499</v>
      </c>
      <c r="C81" s="46">
        <f>(SUM($AA$18:$AA$29)-SUM($AA$36,$AA$42,$AA$48,$AA$54,$AA$60,$AA$66,$AA$72:$AA$79))*Parameters!$B$37/12</f>
        <v>-11250.82481006499</v>
      </c>
      <c r="D81" s="46">
        <f>(SUM($AA$18:$AA$29)-SUM($AA$36,$AA$42,$AA$48,$AA$54,$AA$60,$AA$66,$AA$72:$AA$79))*Parameters!$B$37/12</f>
        <v>-11250.82481006499</v>
      </c>
      <c r="E81" s="46">
        <f>(SUM($AA$18:$AA$29)-SUM($AA$36,$AA$42,$AA$48,$AA$54,$AA$60,$AA$66,$AA$72:$AA$79))*Parameters!$B$37/12</f>
        <v>-11250.82481006499</v>
      </c>
      <c r="F81" s="46">
        <f>(SUM($AA$18:$AA$29)-SUM($AA$36,$AA$42,$AA$48,$AA$54,$AA$60,$AA$66,$AA$72:$AA$79))*Parameters!$B$37/12</f>
        <v>-11250.82481006499</v>
      </c>
      <c r="G81" s="46">
        <f>(SUM($AA$18:$AA$29)-SUM($AA$36,$AA$42,$AA$48,$AA$54,$AA$60,$AA$66,$AA$72:$AA$79))*Parameters!$B$37/12</f>
        <v>-11250.82481006499</v>
      </c>
      <c r="H81" s="46">
        <f>(SUM($AA$18:$AA$29)-SUM($AA$36,$AA$42,$AA$48,$AA$54,$AA$60,$AA$66,$AA$72:$AA$79))*Parameters!$B$37/12</f>
        <v>-11250.82481006499</v>
      </c>
      <c r="I81" s="46">
        <f>(SUM($AA$18:$AA$29)-SUM($AA$36,$AA$42,$AA$48,$AA$54,$AA$60,$AA$66,$AA$72:$AA$79))*Parameters!$B$37/12</f>
        <v>-11250.82481006499</v>
      </c>
      <c r="J81" s="46">
        <f>(SUM($AA$18:$AA$29)-SUM($AA$36,$AA$42,$AA$48,$AA$54,$AA$60,$AA$66,$AA$72:$AA$79))*Parameters!$B$37/12</f>
        <v>-11250.82481006499</v>
      </c>
      <c r="K81" s="46">
        <f>(SUM($AA$18:$AA$29)-SUM($AA$36,$AA$42,$AA$48,$AA$54,$AA$60,$AA$66,$AA$72:$AA$79))*Parameters!$B$37/12</f>
        <v>-11250.82481006499</v>
      </c>
      <c r="L81" s="46">
        <f>(SUM($AA$18:$AA$29)-SUM($AA$36,$AA$42,$AA$48,$AA$54,$AA$60,$AA$66,$AA$72:$AA$79))*Parameters!$B$37/12</f>
        <v>-11250.82481006499</v>
      </c>
      <c r="M81" s="46">
        <f>(SUM($AA$18:$AA$29)-SUM($AA$36,$AA$42,$AA$48,$AA$54,$AA$60,$AA$66,$AA$72:$AA$79))*Parameters!$B$37/12</f>
        <v>-11250.82481006499</v>
      </c>
      <c r="N81" s="46">
        <f>(SUM($AA$18:$AA$29)-SUM($AA$36,$AA$42,$AA$48,$AA$54,$AA$60,$AA$66,$AA$72:$AA$79))*Parameters!$B$37/12</f>
        <v>-11250.82481006499</v>
      </c>
      <c r="O81" s="46">
        <f>(SUM($AA$18:$AA$29)-SUM($AA$36,$AA$42,$AA$48,$AA$54,$AA$60,$AA$66,$AA$72:$AA$79))*Parameters!$B$37/12</f>
        <v>-11250.82481006499</v>
      </c>
      <c r="P81" s="46">
        <f>(SUM($AA$18:$AA$29)-SUM($AA$36,$AA$42,$AA$48,$AA$54,$AA$60,$AA$66,$AA$72:$AA$79))*Parameters!$B$37/12</f>
        <v>-11250.82481006499</v>
      </c>
      <c r="Q81" s="46">
        <f>(SUM($AA$18:$AA$29)-SUM($AA$36,$AA$42,$AA$48,$AA$54,$AA$60,$AA$66,$AA$72:$AA$79))*Parameters!$B$37/12</f>
        <v>-11250.82481006499</v>
      </c>
      <c r="R81" s="46">
        <f>(SUM($AA$18:$AA$29)-SUM($AA$36,$AA$42,$AA$48,$AA$54,$AA$60,$AA$66,$AA$72:$AA$79))*Parameters!$B$37/12</f>
        <v>-11250.82481006499</v>
      </c>
      <c r="S81" s="46">
        <f>(SUM($AA$18:$AA$29)-SUM($AA$36,$AA$42,$AA$48,$AA$54,$AA$60,$AA$66,$AA$72:$AA$79))*Parameters!$B$37/12</f>
        <v>-11250.82481006499</v>
      </c>
      <c r="T81" s="46">
        <f>(SUM($AA$18:$AA$29)-SUM($AA$36,$AA$42,$AA$48,$AA$54,$AA$60,$AA$66,$AA$72:$AA$79))*Parameters!$B$37/12</f>
        <v>-11250.82481006499</v>
      </c>
      <c r="U81" s="46">
        <f>(SUM($AA$18:$AA$29)-SUM($AA$36,$AA$42,$AA$48,$AA$54,$AA$60,$AA$66,$AA$72:$AA$79))*Parameters!$B$37/12</f>
        <v>-11250.82481006499</v>
      </c>
      <c r="V81" s="46">
        <f>(SUM($AA$18:$AA$29)-SUM($AA$36,$AA$42,$AA$48,$AA$54,$AA$60,$AA$66,$AA$72:$AA$79))*Parameters!$B$37/12</f>
        <v>-11250.82481006499</v>
      </c>
      <c r="W81" s="46">
        <f>(SUM($AA$18:$AA$29)-SUM($AA$36,$AA$42,$AA$48,$AA$54,$AA$60,$AA$66,$AA$72:$AA$79))*Parameters!$B$37/12</f>
        <v>-11250.82481006499</v>
      </c>
      <c r="X81" s="46">
        <f>(SUM($AA$18:$AA$29)-SUM($AA$36,$AA$42,$AA$48,$AA$54,$AA$60,$AA$66,$AA$72:$AA$79))*Parameters!$B$37/12</f>
        <v>-11250.82481006499</v>
      </c>
      <c r="Y81" s="46">
        <f>(SUM($AA$18:$AA$29)-SUM($AA$36,$AA$42,$AA$48,$AA$54,$AA$60,$AA$66,$AA$72:$AA$79))*Parameters!$B$37/12</f>
        <v>-11250.82481006499</v>
      </c>
      <c r="Z81" s="46">
        <f>SUMIF($B$13:$Y$13,"Yes",B81:Y81)</f>
        <v>-146260.7225308448</v>
      </c>
      <c r="AA81" s="46">
        <f>SUM(B81:M81)</f>
        <v>-135009.8977207798</v>
      </c>
      <c r="AB81" s="46">
        <f>SUM(B81:Y81)</f>
        <v>-270019.7954415596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1243633.460904221</v>
      </c>
      <c r="C88" s="19">
        <f>SUM(C72:C82,C66,C60,C54,C48,C42,C36)</f>
        <v>30603.46090422073</v>
      </c>
      <c r="D88" s="19">
        <f>SUM(D72:D82,D66,D60,D54,D48,D42,D36)</f>
        <v>42603.46090422073</v>
      </c>
      <c r="E88" s="19">
        <f>SUM(E72:E82,E66,E60,E54,E48,E42,E36)</f>
        <v>30603.46090422073</v>
      </c>
      <c r="F88" s="19">
        <f>SUM(F72:F82,F66,F60,F54,F48,F42,F36)</f>
        <v>31598.35101852152</v>
      </c>
      <c r="G88" s="19">
        <f>SUM(G72:G82,G66,G60,G54,G48,G42,G36)</f>
        <v>11363.46090422073</v>
      </c>
      <c r="H88" s="19">
        <f>SUM(H72:H82,H66,H60,H54,H48,H42,H36)</f>
        <v>61993.46090422073</v>
      </c>
      <c r="I88" s="19">
        <f>SUM(I72:I82,I66,I60,I54,I48,I42,I36)</f>
        <v>7989.175189935013</v>
      </c>
      <c r="J88" s="19">
        <f>SUM(J72:J82,J66,J60,J54,J48,J42,J36)</f>
        <v>19989.17518993501</v>
      </c>
      <c r="K88" s="19">
        <f>SUM(K72:K82,K66,K60,K54,K48,K42,K36)</f>
        <v>7989.175189935013</v>
      </c>
      <c r="L88" s="19">
        <f>SUM(L72:L82,L66,L60,L54,L48,L42,L36)</f>
        <v>8984.065304235797</v>
      </c>
      <c r="M88" s="19">
        <f>SUM(M72:M82,M66,M60,M54,M48,M42,M36)</f>
        <v>138749.175189935</v>
      </c>
      <c r="N88" s="19">
        <f>SUM(N72:N82,N66,N60,N54,N48,N42,N36)</f>
        <v>43633.46090422073</v>
      </c>
      <c r="O88" s="19">
        <f>SUM(O72:O82,O66,O60,O54,O48,O42,O36)</f>
        <v>30603.46090422073</v>
      </c>
      <c r="P88" s="19">
        <f>SUM(P72:P82,P66,P60,P54,P48,P42,P36)</f>
        <v>42603.46090422073</v>
      </c>
      <c r="Q88" s="19">
        <f>SUM(Q72:Q82,Q66,Q60,Q54,Q48,Q42,Q36)</f>
        <v>30603.46090422073</v>
      </c>
      <c r="R88" s="19">
        <f>SUM(R72:R82,R66,R60,R54,R48,R42,R36)</f>
        <v>31598.35101852152</v>
      </c>
      <c r="S88" s="19">
        <f>SUM(S72:S82,S66,S60,S54,S48,S42,S36)</f>
        <v>11363.46090422073</v>
      </c>
      <c r="T88" s="19">
        <f>SUM(T72:T82,T66,T60,T54,T48,T42,T36)</f>
        <v>61993.46090422073</v>
      </c>
      <c r="U88" s="19">
        <f>SUM(U72:U82,U66,U60,U54,U48,U42,U36)</f>
        <v>7989.175189935013</v>
      </c>
      <c r="V88" s="19">
        <f>SUM(V72:V82,V66,V60,V54,V48,V42,V36)</f>
        <v>19989.17518993501</v>
      </c>
      <c r="W88" s="19">
        <f>SUM(W72:W82,W66,W60,W54,W48,W42,W36)</f>
        <v>7989.175189935013</v>
      </c>
      <c r="X88" s="19">
        <f>SUM(X72:X82,X66,X60,X54,X48,X42,X36)</f>
        <v>8984.065304235797</v>
      </c>
      <c r="Y88" s="19">
        <f>SUM(Y72:Y82,Y66,Y60,Y54,Y48,Y42,Y36)</f>
        <v>138749.175189935</v>
      </c>
      <c r="Z88" s="19">
        <f>SUMIF($B$13:$Y$13,"Yes",B88:Y88)</f>
        <v>1679733.343412042</v>
      </c>
      <c r="AA88" s="19">
        <f>SUM(B88:M88)</f>
        <v>1636099.882507822</v>
      </c>
      <c r="AB88" s="19">
        <f>SUM(B88:Y88)</f>
        <v>2072199.765015644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800000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1485000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96</v>
      </c>
      <c r="F8" s="149" t="s">
        <v>91</v>
      </c>
      <c r="G8" s="147"/>
      <c r="H8" s="147" t="s">
        <v>97</v>
      </c>
      <c r="I8" s="147" t="s">
        <v>93</v>
      </c>
      <c r="J8" s="148" t="s">
        <v>94</v>
      </c>
      <c r="K8" s="138"/>
      <c r="L8" s="16"/>
      <c r="M8" s="165">
        <v>5</v>
      </c>
      <c r="N8" s="154">
        <v>2</v>
      </c>
    </row>
    <row r="9" spans="1:48">
      <c r="A9" s="143" t="s">
        <v>98</v>
      </c>
      <c r="B9" s="16"/>
      <c r="C9" s="143">
        <v>6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 t="s">
        <v>123</v>
      </c>
      <c r="B35" s="159">
        <v>1200000</v>
      </c>
      <c r="C35" s="145" t="s">
        <v>94</v>
      </c>
      <c r="D35" s="49">
        <f>IFERROR(VLOOKUP(C35,Parameters!$C$79:$D$90,2,0),"")</f>
        <v>10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97</v>
      </c>
    </row>
    <row r="41" spans="1:48">
      <c r="A41" s="55" t="s">
        <v>126</v>
      </c>
      <c r="B41" s="140">
        <v>150000</v>
      </c>
    </row>
    <row r="42" spans="1:48">
      <c r="A42" s="55" t="s">
        <v>127</v>
      </c>
      <c r="B42" s="139" t="s">
        <v>128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97</v>
      </c>
    </row>
    <row r="45" spans="1:48">
      <c r="A45" s="56" t="s">
        <v>132</v>
      </c>
      <c r="B45" s="161"/>
    </row>
    <row r="46" spans="1:48" customHeight="1" ht="30">
      <c r="A46" s="57" t="s">
        <v>133</v>
      </c>
      <c r="B46" s="161">
        <v>800000</v>
      </c>
    </row>
    <row r="47" spans="1:48" customHeight="1" ht="30">
      <c r="A47" s="57" t="s">
        <v>134</v>
      </c>
      <c r="B47" s="161">
        <v>450000</v>
      </c>
    </row>
    <row r="48" spans="1:48" customHeight="1" ht="30">
      <c r="A48" s="57" t="s">
        <v>135</v>
      </c>
      <c r="B48" s="161">
        <v>200000</v>
      </c>
    </row>
    <row r="49" spans="1:48" customHeight="1" ht="30">
      <c r="A49" s="57" t="s">
        <v>136</v>
      </c>
      <c r="B49" s="161">
        <v>35000</v>
      </c>
    </row>
    <row r="50" spans="1:48">
      <c r="A50" s="43"/>
      <c r="B50" s="36"/>
    </row>
    <row r="51" spans="1:48">
      <c r="A51" s="58" t="s">
        <v>137</v>
      </c>
      <c r="B51" s="161">
        <v>2500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150000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200000</v>
      </c>
      <c r="B57" s="157">
        <v>0</v>
      </c>
      <c r="C57" s="164" t="s">
        <v>148</v>
      </c>
      <c r="D57" s="165" t="s">
        <v>146</v>
      </c>
      <c r="E57" s="165" t="s">
        <v>97</v>
      </c>
      <c r="F57" s="165" t="s">
        <v>149</v>
      </c>
    </row>
    <row r="58" spans="1:48">
      <c r="A58" s="157">
        <v>10240</v>
      </c>
      <c r="B58" s="157">
        <v>0</v>
      </c>
      <c r="C58" s="164" t="s">
        <v>150</v>
      </c>
      <c r="D58" s="165" t="s">
        <v>151</v>
      </c>
      <c r="E58" s="165" t="s">
        <v>92</v>
      </c>
      <c r="F58" s="165" t="s">
        <v>147</v>
      </c>
    </row>
    <row r="59" spans="1:48">
      <c r="A59" s="157">
        <v>35400</v>
      </c>
      <c r="B59" s="157">
        <v>0</v>
      </c>
      <c r="C59" s="164" t="s">
        <v>152</v>
      </c>
      <c r="D59" s="165" t="s">
        <v>151</v>
      </c>
      <c r="E59" s="165" t="s">
        <v>97</v>
      </c>
      <c r="F59" s="165" t="s">
        <v>149</v>
      </c>
    </row>
    <row r="60" spans="1:48">
      <c r="A60" s="158">
        <v>10000</v>
      </c>
      <c r="B60" s="158">
        <v>0</v>
      </c>
      <c r="C60" s="166" t="s">
        <v>153</v>
      </c>
      <c r="D60" s="167" t="s">
        <v>151</v>
      </c>
      <c r="E60" s="167" t="s">
        <v>97</v>
      </c>
      <c r="F60" s="167" t="s">
        <v>154</v>
      </c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156</v>
      </c>
      <c r="C65" s="10" t="s">
        <v>157</v>
      </c>
    </row>
    <row r="66" spans="1:48">
      <c r="A66" s="142" t="s">
        <v>94</v>
      </c>
      <c r="B66" s="159">
        <v>300000</v>
      </c>
      <c r="C66" s="163">
        <v>280000</v>
      </c>
      <c r="D66" s="49">
        <f>INDEX(Parameters!$D$79:$D$90,MATCH(Inputs!A66,Parameters!$C$79:$C$90,0))</f>
        <v>10</v>
      </c>
    </row>
    <row r="67" spans="1:48">
      <c r="A67" s="143" t="s">
        <v>158</v>
      </c>
      <c r="B67" s="157">
        <v>20000</v>
      </c>
      <c r="C67" s="165">
        <v>30000</v>
      </c>
      <c r="D67" s="49">
        <f>INDEX(Parameters!$D$79:$D$90,MATCH(Inputs!A67,Parameters!$C$79:$C$90,0))</f>
        <v>11</v>
      </c>
    </row>
    <row r="68" spans="1:48">
      <c r="A68" s="143" t="s">
        <v>159</v>
      </c>
      <c r="B68" s="157">
        <v>19000</v>
      </c>
      <c r="C68" s="165">
        <v>25000</v>
      </c>
      <c r="D68" s="49">
        <f>INDEX(Parameters!$D$79:$D$90,MATCH(Inputs!A68,Parameters!$C$79:$C$90,0))</f>
        <v>12</v>
      </c>
    </row>
    <row r="69" spans="1:48">
      <c r="A69" s="143" t="s">
        <v>160</v>
      </c>
      <c r="B69" s="157">
        <v>36000</v>
      </c>
      <c r="C69" s="165">
        <v>24000</v>
      </c>
      <c r="D69" s="49">
        <f>INDEX(Parameters!$D$79:$D$90,MATCH(Inputs!A69,Parameters!$C$79:$C$90,0))</f>
        <v>1</v>
      </c>
    </row>
    <row r="70" spans="1:48">
      <c r="A70" s="143" t="s">
        <v>161</v>
      </c>
      <c r="B70" s="157">
        <v>70000</v>
      </c>
      <c r="C70" s="165">
        <v>30000</v>
      </c>
      <c r="D70" s="49">
        <f>INDEX(Parameters!$D$79:$D$90,MATCH(Inputs!A70,Parameters!$C$79:$C$90,0))</f>
        <v>2</v>
      </c>
    </row>
    <row r="71" spans="1:48">
      <c r="A71" s="144" t="s">
        <v>162</v>
      </c>
      <c r="B71" s="158">
        <v>600000</v>
      </c>
      <c r="C71" s="167">
        <v>120000</v>
      </c>
      <c r="D71" s="49">
        <f>INDEX(Parameters!$D$79:$D$90,MATCH(Inputs!A71,Parameters!$C$79:$C$90,0))</f>
        <v>3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15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300000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2387.736274321882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111149.1235696836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994.8901143007844</v>
      </c>
      <c r="AB4" s="33">
        <f>H4*IFERROR(INDEX(Parameters!$A$3:$AI$17,MATCH(Calculations!A4,Parameters!$A$3:$A$17,0),MATCH(Parameters!$O$3,Parameters!$A$3:$AI$3,0)),AVERAGE(Parameters!$O$4:$O$17))*(1-Inputs!$B$25/100)</f>
        <v>76000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43101</v>
      </c>
      <c r="D5" s="39">
        <f>IFERROR(DATE(YEAR(B5),MONTH(B5)+T5,DAY(B5)),"")</f>
        <v>43191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43191</v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930</v>
      </c>
      <c r="M5" s="30">
        <f>L5*H5</f>
        <v>4650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92767.5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25000</v>
      </c>
      <c r="AA5" s="34">
        <f>IFERROR(IF(Inputs!N8&gt;0,INDEX(Parameters!$A$3:$AI$17,MATCH(Calculations!A5,Parameters!$A$3:$A$17,0),MATCH(Parameters!$R$3,Parameters!$A$3:$AI$3,0)),0)*M5/S5,0)</f>
        <v>10695</v>
      </c>
      <c r="AB5" s="34">
        <f>H5*IFERROR(INDEX(Parameters!$A$3:$AI$17,MATCH(Calculations!A5,Parameters!$A$3:$A$17,0),MATCH(Parameters!$O$3,Parameters!$A$3:$AI$3,0)),AVERAGE(Parameters!$O$4:$O$17))*(1-Inputs!$B$25/100)</f>
        <v>57000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43009</v>
      </c>
      <c r="C6" s="39">
        <f>IFERROR(DATE(YEAR(B6),MONTH(B6)+ROUND(T6/2,0),DAY(B6)),B6)</f>
        <v>43009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6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36000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10240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35400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43056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43040</v>
      </c>
      <c r="F33" t="s">
        <v>168</v>
      </c>
      <c r="G33" s="128">
        <f>IF(Inputs!B79="","",DATE(YEAR(Inputs!B79),MONTH(Inputs!B79),DAY(Inputs!B79)))</f>
        <v>43025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43070</v>
      </c>
      <c r="F34" t="s">
        <v>169</v>
      </c>
      <c r="G34" s="128">
        <f>IF(Inputs!B80="","",DATE(YEAR(Inputs!B80),MONTH(Inputs!B80),DAY(Inputs!B80)))</f>
        <v>43056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43117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43101</v>
      </c>
      <c r="F35" t="s">
        <v>171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43148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43132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43176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43160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43207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43191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43237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43221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43268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43252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43298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43282</v>
      </c>
      <c r="F41" t="s">
        <v>235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43329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43313</v>
      </c>
      <c r="F42" t="s">
        <v>236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43360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43390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209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303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303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303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303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100</v>
      </c>
      <c r="B41" s="191" t="s">
        <v>97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321</v>
      </c>
      <c r="H52" s="12" t="s">
        <v>130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237</v>
      </c>
      <c r="E53" s="10" t="s">
        <v>196</v>
      </c>
      <c r="F53" s="10" t="s">
        <v>256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174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233</v>
      </c>
      <c r="J76" s="11" t="s">
        <v>355</v>
      </c>
      <c r="K76" s="11" t="s">
        <v>186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97</v>
      </c>
      <c r="F77" s="12" t="s">
        <v>97</v>
      </c>
      <c r="G77" s="12" t="s">
        <v>357</v>
      </c>
      <c r="H77" s="12" t="s">
        <v>130</v>
      </c>
      <c r="I77" s="12" t="s">
        <v>358</v>
      </c>
      <c r="J77" s="136" t="s">
        <v>96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359</v>
      </c>
      <c r="D78" s="133"/>
      <c r="E78" s="12" t="s">
        <v>360</v>
      </c>
      <c r="F78" s="12" t="s">
        <v>93</v>
      </c>
      <c r="G78" s="12" t="s">
        <v>361</v>
      </c>
      <c r="H78" s="12" t="s">
        <v>322</v>
      </c>
      <c r="I78" s="12" t="s">
        <v>362</v>
      </c>
      <c r="J78" s="70" t="s">
        <v>363</v>
      </c>
      <c r="K78" s="12" t="s">
        <v>97</v>
      </c>
      <c r="AJ78" s="12"/>
    </row>
    <row r="79" spans="1:36">
      <c r="B79" s="176">
        <v>10</v>
      </c>
      <c r="C79" s="12" t="s">
        <v>160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174</v>
      </c>
      <c r="J79" s="70" t="s">
        <v>367</v>
      </c>
      <c r="K79" s="12" t="s">
        <v>97</v>
      </c>
      <c r="AJ79" s="12"/>
    </row>
    <row r="80" spans="1:36">
      <c r="B80" s="176">
        <v>20</v>
      </c>
      <c r="C80" s="12" t="s">
        <v>161</v>
      </c>
      <c r="D80" s="12">
        <f>D79+1</f>
        <v>2</v>
      </c>
      <c r="E80" s="12" t="s">
        <v>368</v>
      </c>
      <c r="F80" s="12" t="s">
        <v>369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162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372</v>
      </c>
      <c r="D83" s="12">
        <f>D82+1</f>
        <v>5</v>
      </c>
    </row>
    <row r="84" spans="1:36">
      <c r="B84" s="176">
        <v>60</v>
      </c>
      <c r="C84" s="12" t="s">
        <v>373</v>
      </c>
      <c r="D84" s="12">
        <f>D83+1</f>
        <v>6</v>
      </c>
    </row>
    <row r="85" spans="1:36">
      <c r="B85" s="176">
        <v>70</v>
      </c>
      <c r="C85" s="12" t="s">
        <v>374</v>
      </c>
      <c r="D85" s="12">
        <f>D84+1</f>
        <v>7</v>
      </c>
    </row>
    <row r="86" spans="1:36">
      <c r="B86" s="176">
        <v>80</v>
      </c>
      <c r="C86" s="12" t="s">
        <v>375</v>
      </c>
      <c r="D86" s="12">
        <f>D85+1</f>
        <v>8</v>
      </c>
    </row>
    <row r="87" spans="1:36">
      <c r="B87" s="176">
        <v>89.99999999999999</v>
      </c>
      <c r="C87" s="12" t="s">
        <v>128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158</v>
      </c>
      <c r="D89" s="12">
        <f>D88+1</f>
        <v>11</v>
      </c>
    </row>
    <row r="90" spans="1:36">
      <c r="C90" s="12" t="s">
        <v>159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