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<sst xmlns="http://schemas.openxmlformats.org/spreadsheetml/2006/main" uniqueCount="379">
  <si>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</si>
  <si>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</si>
  <si>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</si>
  <si>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</si>
  <si>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</si>
  <si>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</si>
  <si>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</si>
  <si>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</si>
  <si>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</si>
  <si>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</si>
  <si>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</si>
  <si>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</si>
  <si>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</si>
  <si>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</si>
  <si>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</si>
  <si>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</si>
  <si>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</si>
  <si>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</si>
  <si>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</si>
  <si>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</si>
  <si>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</si>
  <si>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</si>
  <si>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</si>
  <si>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</si>
  <si>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</si>
  <si>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</si>
  <si>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</si>
  <si>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</si>
  <si>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</si>
  <si>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</si>
  <si>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</si>
  <si>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</si>
  <si>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</si>
  <si>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</si>
  <si>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</si>
  <si>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</si>
  <si>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</si>
  <si>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</si>
  <si>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</si>
  <si>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</si>
  <si>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</si>
  <si>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</si>
  <si>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</si>
  <si>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</si>
  <si>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</si>
  <si>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</si>
  <si>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</si>
  <si>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</si>
  <si>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</si>
  <si>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</si>
  <si>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</si>
  <si>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</si>
  <si>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</si>
  <si>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</si>
  <si>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</si>
  <si>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</si>
  <si>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</si>
  <si>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</si>
  <si>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</si>
  <si>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</si>
  <si>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</si>
  <si>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</si>
  <si>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</si>
  <si>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</si>
  <si>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</si>
  <si>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</si>
  <si>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</si>
  <si>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</si>
  <si>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</si>
  <si>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</si>
  <si>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</si>
  <si>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</si>
  <si>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</si>
  <si>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</si>
  <si>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</si>
  <si>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</si>
  <si>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</si>
  <si>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</si>
  <si>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</si>
  <si>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</si>
  <si>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</si>
  <si>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</si>
  <si>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</si>
  <si>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</si>
  <si>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</si>
  <si>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</si>
  <si>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</si>
  <si>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</si>
  <si>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</si>
  <si>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</si>
  <si>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</si>
  <si>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only manure</t>
  </si>
  <si>
    <t>Yes</t>
  </si>
  <si>
    <t>Yes without the use of a pump</t>
  </si>
  <si>
    <t>no planting_trees are mature</t>
  </si>
  <si>
    <t>Cabbages</t>
  </si>
  <si>
    <t>Home recycled</t>
  </si>
  <si>
    <t>No</t>
  </si>
  <si>
    <t>December</t>
  </si>
  <si>
    <t>Coffee</t>
  </si>
  <si>
    <t>NGO</t>
  </si>
  <si>
    <t>Yes both manure and inorganic</t>
  </si>
  <si>
    <t>Potatoes</t>
  </si>
  <si>
    <t>every month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</si>
  <si>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</si>
  <si>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</si>
  <si>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</si>
  <si>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</si>
  <si>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</si>
  <si>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</si>
  <si>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</si>
  <si>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</si>
  <si>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</si>
  <si>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</si>
  <si>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</si>
  <si>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</si>
  <si>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</si>
  <si>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</si>
  <si>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</si>
  <si>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</si>
  <si>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Chicken_layers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</si>
  <si>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</si>
  <si>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</si>
  <si>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</si>
  <si>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</si>
  <si>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</si>
  <si>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Supply of cerials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</si>
  <si>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</si>
  <si>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</si>
  <si>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</si>
  <si>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</si>
  <si>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</si>
  <si>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</si>
  <si>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</si>
  <si>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</si>
  <si>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</si>
  <si>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</si>
  <si>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</si>
  <si>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</si>
  <si>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</si>
  <si>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</si>
  <si>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</si>
  <si>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</si>
  <si>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</si>
  <si>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</si>
  <si>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</si>
  <si>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</si>
  <si>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</si>
  <si>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</si>
  <si>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</si>
  <si>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</si>
  <si>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</si>
  <si>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</si>
  <si>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</si>
  <si>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3/6/2015</t>
  </si>
  <si>
    <t xml:space="preserve">KCB Bank </t>
  </si>
  <si>
    <t xml:space="preserve">cleared </t>
  </si>
  <si>
    <t>7/7/2017</t>
  </si>
  <si>
    <t xml:space="preserve">Equity Bank </t>
  </si>
  <si>
    <t xml:space="preserve">well serviced </t>
  </si>
  <si>
    <t>1/11/2017</t>
  </si>
  <si>
    <t>6/10/2016</t>
  </si>
  <si>
    <t xml:space="preserve">Cooperative Bank </t>
  </si>
  <si>
    <t xml:space="preserve">Cleared </t>
  </si>
  <si>
    <t>9/5/2014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</si>
  <si>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</si>
  <si>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</si>
  <si>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</si>
  <si>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</si>
  <si>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</si>
  <si>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</si>
  <si>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</si>
  <si>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</si>
  <si>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</si>
  <si>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</si>
  <si>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</si>
  <si>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</si>
  <si>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2017/10/19</t>
  </si>
  <si>
    <t>Loan terms</t>
  </si>
  <si>
    <t>Expected disbursement date</t>
  </si>
  <si>
    <t>2017/10/26</t>
  </si>
  <si>
    <t>Expected first repayment date</t>
  </si>
  <si>
    <t>2017/11/4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</si>
  <si>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</si>
  <si>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</si>
  <si>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</si>
  <si>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</si>
  <si>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</si>
  <si>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</si>
  <si>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</si>
  <si>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</si>
  <si>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</si>
  <si>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</si>
  <si>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</si>
  <si>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</si>
  <si>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</si>
  <si>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</si>
  <si>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</si>
  <si>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</si>
  <si>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</si>
  <si>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</si>
  <si>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</si>
  <si>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</si>
  <si>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</si>
  <si>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</si>
  <si>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</si>
  <si>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</si>
  <si>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</si>
  <si>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</si>
  <si>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</si>
  <si>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</si>
  <si>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</si>
  <si>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</si>
  <si>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</si>
  <si>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</si>
  <si>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</si>
  <si>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</si>
  <si>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</si>
  <si>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</si>
  <si>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</si>
  <si>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</si>
  <si>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</si>
  <si>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</si>
  <si>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</si>
  <si>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</si>
  <si>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</si>
  <si>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</si>
  <si>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</si>
  <si>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</si>
  <si>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</si>
  <si>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</si>
  <si>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</si>
  <si>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</si>
  <si>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</si>
  <si>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</si>
  <si>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</si>
  <si>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</si>
  <si>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</si>
  <si>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</si>
  <si>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</si>
  <si>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</si>
  <si>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</si>
  <si>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</si>
  <si>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</si>
  <si>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</si>
  <si>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</si>
  <si>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</si>
  <si>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</si>
  <si>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</si>
  <si>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</si>
  <si>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</si>
  <si>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</si>
  <si>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</si>
  <si>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</si>
  <si>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</si>
  <si>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</si>
  <si>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</si>
  <si>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</si>
  <si>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</si>
  <si>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</si>
  <si>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</si>
  <si>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</si>
  <si>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</si>
  <si>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</si>
  <si>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</si>
  <si>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</si>
  <si>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</si>
  <si>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</si>
  <si>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</si>
  <si>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</si>
  <si>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</si>
  <si>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</si>
  <si>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</si>
  <si>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</si>
  <si>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</si>
  <si>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</si>
  <si>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</si>
  <si>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</si>
  <si>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</si>
  <si>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</si>
  <si>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</si>
  <si>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</si>
  <si>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</si>
  <si>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</si>
  <si>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</si>
  <si>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</si>
  <si>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</si>
  <si>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</si>
  <si>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</si>
  <si>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Maize</t>
  </si>
  <si>
    <t>Mangoes</t>
  </si>
  <si>
    <t>Onions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</si>
  <si>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</si>
  <si>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</si>
  <si>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</si>
  <si>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</si>
  <si>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</si>
  <si>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</si>
  <si>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</si>
  <si>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</si>
  <si>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</si>
  <si>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</si>
  <si>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</si>
  <si>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</si>
  <si>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</si>
  <si>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</si>
  <si>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</si>
  <si>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</si>
  <si>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</si>
  <si>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</si>
  <si>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</si>
  <si>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</si>
  <si>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</si>
  <si>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</si>
  <si>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</si>
  <si>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</si>
  <si>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</si>
  <si>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</si>
  <si>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</si>
  <si>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</si>
  <si>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</si>
  <si>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</si>
  <si>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</si>
  <si>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</si>
  <si>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</si>
  <si>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</si>
  <si>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</si>
  <si>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</si>
  <si>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</si>
  <si>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</si>
  <si>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</si>
  <si>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</si>
  <si>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</si>
  <si>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</si>
  <si>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</si>
  <si>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</si>
  <si>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</si>
  <si>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</si>
  <si>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</si>
  <si>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</si>
  <si>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</si>
  <si>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</si>
  <si>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</si>
  <si>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</si>
  <si>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</si>
  <si>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</si>
  <si>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</si>
  <si>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</si>
  <si>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</si>
  <si>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</si>
  <si>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</si>
  <si>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</si>
  <si>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</si>
  <si>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</si>
  <si>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</si>
  <si>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</si>
  <si>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</si>
  <si>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</si>
  <si>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</si>
  <si>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</si>
  <si>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</si>
  <si>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</si>
  <si>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</si>
  <si>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</si>
  <si>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</si>
  <si>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</si>
  <si>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</si>
  <si>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</si>
  <si>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</si>
  <si>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</si>
  <si>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</si>
  <si>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</si>
  <si>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</si>
  <si>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</si>
  <si>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</si>
  <si>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</si>
  <si>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March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</si>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</sst>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Cabbages, Coffee, Potatoes,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Chicken: sale of ex layers</v>
      </c>
    </row>
    <row r="8" spans="1:7">
      <c r="B8" s="1" t="s">
        <v>4</v>
      </c>
      <c r="C8" t="str">
        <f>IF(Inputs!B29="","None",Inputs!B29)</f>
        <v>Supply of cerials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0.1558703362952991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0.05146579804560261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1924791.695657258</v>
      </c>
    </row>
    <row r="18" spans="1:7">
      <c r="B18" s="1" t="s">
        <v>12</v>
      </c>
      <c r="C18" s="36">
        <f>MIN(Output!B6:M6)</f>
        <v>66132.80978535287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564776.9684684685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430000</v>
      </c>
    </row>
    <row r="25" spans="1:7">
      <c r="B25" s="1" t="s">
        <v>18</v>
      </c>
      <c r="C25" s="36">
        <f>MAX(Inputs!A56:A60)</f>
        <v>550000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84820.30978535287</v>
      </c>
      <c r="C6" s="51">
        <f>C30-C88</f>
        <v>90132.97539749698</v>
      </c>
      <c r="D6" s="51">
        <f>D30-D88</f>
        <v>75071.80820356906</v>
      </c>
      <c r="E6" s="51">
        <f>E30-E88</f>
        <v>88101.80820356906</v>
      </c>
      <c r="F6" s="51">
        <f>F30-F88</f>
        <v>74101.80820356906</v>
      </c>
      <c r="G6" s="51">
        <f>G30-G88</f>
        <v>564776.9684684685</v>
      </c>
      <c r="H6" s="51">
        <f>H30-H88</f>
        <v>84820.30978535287</v>
      </c>
      <c r="I6" s="51">
        <f>I30-I88</f>
        <v>79507.64417320871</v>
      </c>
      <c r="J6" s="51">
        <f>J30-J88</f>
        <v>75071.80820356906</v>
      </c>
      <c r="K6" s="51">
        <f>K30-K88</f>
        <v>88101.80820356906</v>
      </c>
      <c r="L6" s="51">
        <f>L30-L88</f>
        <v>66132.80978535287</v>
      </c>
      <c r="M6" s="51">
        <f>M30-M88</f>
        <v>554151.6372441802</v>
      </c>
      <c r="N6" s="51">
        <f>N30-N88</f>
        <v>84820.30978535287</v>
      </c>
      <c r="O6" s="51">
        <f>O30-O88</f>
        <v>171382.975397497</v>
      </c>
      <c r="P6" s="51">
        <f>P30-P88</f>
        <v>-48774.34564258478</v>
      </c>
      <c r="Q6" s="51">
        <f>Q30-Q88</f>
        <v>121262.0646138255</v>
      </c>
      <c r="R6" s="51">
        <f>R30-R88</f>
        <v>107262.0646138255</v>
      </c>
      <c r="S6" s="51">
        <f>S30-S88</f>
        <v>597937.2248787249</v>
      </c>
      <c r="T6" s="51">
        <f>T30-T88</f>
        <v>117980.5661956093</v>
      </c>
      <c r="U6" s="51">
        <f>U30-U88</f>
        <v>112667.9005834651</v>
      </c>
      <c r="V6" s="51">
        <f>V30-V88</f>
        <v>108232.0646138255</v>
      </c>
      <c r="W6" s="51">
        <f>W30-W88</f>
        <v>121262.0646138255</v>
      </c>
      <c r="X6" s="51">
        <f>X30-X88</f>
        <v>99293.06619560928</v>
      </c>
      <c r="Y6" s="51">
        <f>Y30-Y88</f>
        <v>587311.8936544366</v>
      </c>
      <c r="Z6" s="51">
        <f>SUMIF($B$13:$Y$13,"Yes",B6:Y6)</f>
        <v>2009612.005442611</v>
      </c>
      <c r="AA6" s="51">
        <f>AA30-AA88</f>
        <v>1924791.695657258</v>
      </c>
      <c r="AB6" s="51">
        <f>AB30-AB88</f>
        <v>4105429.545160666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70120</v>
      </c>
      <c r="I7" s="80">
        <f>IF(ISERROR(VLOOKUP(MONTH(I5),Inputs!$D$66:$D$71,1,0)),"",INDEX(Inputs!$B$66:$B$71,MATCH(MONTH(Output!I5),Inputs!$D$66:$D$71,0))-INDEX(Inputs!$C$66:$C$71,MATCH(MONTH(Output!I5),Inputs!$D$66:$D$71,0)))</f>
        <v>93349</v>
      </c>
      <c r="J7" s="80">
        <f>IF(ISERROR(VLOOKUP(MONTH(J5),Inputs!$D$66:$D$71,1,0)),"",INDEX(Inputs!$B$66:$B$71,MATCH(MONTH(Output!J5),Inputs!$D$66:$D$71,0))-INDEX(Inputs!$C$66:$C$71,MATCH(MONTH(Output!J5),Inputs!$D$66:$D$71,0)))</f>
        <v>89710</v>
      </c>
      <c r="K7" s="80">
        <f>IF(ISERROR(VLOOKUP(MONTH(K5),Inputs!$D$66:$D$71,1,0)),"",INDEX(Inputs!$B$66:$B$71,MATCH(MONTH(Output!K5),Inputs!$D$66:$D$71,0))-INDEX(Inputs!$C$66:$C$71,MATCH(MONTH(Output!K5),Inputs!$D$66:$D$71,0)))</f>
        <v>150257</v>
      </c>
      <c r="L7" s="80">
        <f>IF(ISERROR(VLOOKUP(MONTH(L5),Inputs!$D$66:$D$71,1,0)),"",INDEX(Inputs!$B$66:$B$71,MATCH(MONTH(Output!L5),Inputs!$D$66:$D$71,0))-INDEX(Inputs!$C$66:$C$71,MATCH(MONTH(Output!L5),Inputs!$D$66:$D$71,0)))</f>
        <v>45870</v>
      </c>
      <c r="M7" s="80">
        <f>IF(ISERROR(VLOOKUP(MONTH(M5),Inputs!$D$66:$D$71,1,0)),"",INDEX(Inputs!$B$66:$B$71,MATCH(MONTH(Output!M5),Inputs!$D$66:$D$71,0))-INDEX(Inputs!$C$66:$C$71,MATCH(MONTH(Output!M5),Inputs!$D$66:$D$71,0)))</f>
        <v>62000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70120</v>
      </c>
      <c r="U7" s="80">
        <f>IF(ISERROR(VLOOKUP(MONTH(U5),Inputs!$D$66:$D$71,1,0)),"",INDEX(Inputs!$B$66:$B$71,MATCH(MONTH(Output!U5),Inputs!$D$66:$D$71,0))-INDEX(Inputs!$C$66:$C$71,MATCH(MONTH(Output!U5),Inputs!$D$66:$D$71,0)))</f>
        <v>93349</v>
      </c>
      <c r="V7" s="80">
        <f>IF(ISERROR(VLOOKUP(MONTH(V5),Inputs!$D$66:$D$71,1,0)),"",INDEX(Inputs!$B$66:$B$71,MATCH(MONTH(Output!V5),Inputs!$D$66:$D$71,0))-INDEX(Inputs!$C$66:$C$71,MATCH(MONTH(Output!V5),Inputs!$D$66:$D$71,0)))</f>
        <v>89710</v>
      </c>
      <c r="W7" s="80">
        <f>IF(ISERROR(VLOOKUP(MONTH(W5),Inputs!$D$66:$D$71,1,0)),"",INDEX(Inputs!$B$66:$B$71,MATCH(MONTH(Output!W5),Inputs!$D$66:$D$71,0))-INDEX(Inputs!$C$66:$C$71,MATCH(MONTH(Output!W5),Inputs!$D$66:$D$71,0)))</f>
        <v>150257</v>
      </c>
      <c r="X7" s="80">
        <f>IF(ISERROR(VLOOKUP(MONTH(X5),Inputs!$D$66:$D$71,1,0)),"",INDEX(Inputs!$B$66:$B$71,MATCH(MONTH(Output!X5),Inputs!$D$66:$D$71,0))-INDEX(Inputs!$C$66:$C$71,MATCH(MONTH(Output!X5),Inputs!$D$66:$D$71,0)))</f>
        <v>45870</v>
      </c>
      <c r="Y7" s="80">
        <f>IF(ISERROR(VLOOKUP(MONTH(Y5),Inputs!$D$66:$D$71,1,0)),"",INDEX(Inputs!$B$66:$B$71,MATCH(MONTH(Output!Y5),Inputs!$D$66:$D$71,0))-INDEX(Inputs!$C$66:$C$71,MATCH(MONTH(Output!Y5),Inputs!$D$66:$D$71,0)))</f>
        <v>62000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384820.3097853529</v>
      </c>
      <c r="C11" s="80">
        <f>C6+C9-C10</f>
        <v>60132.97539749698</v>
      </c>
      <c r="D11" s="80">
        <f>D6+D9-D10</f>
        <v>45071.80820356906</v>
      </c>
      <c r="E11" s="80">
        <f>E6+E9-E10</f>
        <v>58101.80820356906</v>
      </c>
      <c r="F11" s="80">
        <f>F6+F9-F10</f>
        <v>44101.80820356906</v>
      </c>
      <c r="G11" s="80">
        <f>G6+G9-G10</f>
        <v>534776.9684684685</v>
      </c>
      <c r="H11" s="80">
        <f>H6+H9-H10</f>
        <v>54820.30978535287</v>
      </c>
      <c r="I11" s="80">
        <f>I6+I9-I10</f>
        <v>49507.64417320871</v>
      </c>
      <c r="J11" s="80">
        <f>J6+J9-J10</f>
        <v>45071.80820356906</v>
      </c>
      <c r="K11" s="80">
        <f>K6+K9-K10</f>
        <v>58101.80820356906</v>
      </c>
      <c r="L11" s="80">
        <f>L6+L9-L10</f>
        <v>36132.80978535287</v>
      </c>
      <c r="M11" s="80">
        <f>M6+M9-M10</f>
        <v>524151.6372441802</v>
      </c>
      <c r="N11" s="80">
        <f>N6+N9-N10</f>
        <v>54820.30978535287</v>
      </c>
      <c r="O11" s="80">
        <f>O6+O9-O10</f>
        <v>171382.975397497</v>
      </c>
      <c r="P11" s="80">
        <f>P6+P9-P10</f>
        <v>-48774.34564258478</v>
      </c>
      <c r="Q11" s="80">
        <f>Q6+Q9-Q10</f>
        <v>121262.0646138255</v>
      </c>
      <c r="R11" s="80">
        <f>R6+R9-R10</f>
        <v>107262.0646138255</v>
      </c>
      <c r="S11" s="80">
        <f>S6+S9-S10</f>
        <v>597937.2248787249</v>
      </c>
      <c r="T11" s="80">
        <f>T6+T9-T10</f>
        <v>117980.5661956093</v>
      </c>
      <c r="U11" s="80">
        <f>U6+U9-U10</f>
        <v>112667.9005834651</v>
      </c>
      <c r="V11" s="80">
        <f>V6+V9-V10</f>
        <v>108232.0646138255</v>
      </c>
      <c r="W11" s="80">
        <f>W6+W9-W10</f>
        <v>121262.0646138255</v>
      </c>
      <c r="X11" s="80">
        <f>X6+X9-X10</f>
        <v>99293.06619560928</v>
      </c>
      <c r="Y11" s="80">
        <f>Y6+Y9-Y10</f>
        <v>587311.8936544366</v>
      </c>
      <c r="Z11" s="85">
        <f>SUMIF($B$13:$Y$13,"Yes",B11:Y11)</f>
        <v>1949612.005442611</v>
      </c>
      <c r="AA11" s="80">
        <f>SUM(B11:M11)</f>
        <v>1894791.695657258</v>
      </c>
      <c r="AB11" s="46">
        <f>SUM(B11:Y11)</f>
        <v>4045429.545160672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0.06316410673620344</v>
      </c>
      <c r="D12" s="82">
        <f>IF(D13="Yes",IF(SUM($B$10:D10)/(SUM($B$6:D6)+SUM($B$9:D9))&lt;0,999.99,SUM($B$10:D10)/(SUM($B$6:D6)+SUM($B$9:D9))),"")</f>
        <v>0.1090859321173682</v>
      </c>
      <c r="E12" s="82">
        <f>IF(E13="Yes",IF(SUM($B$10:E10)/(SUM($B$6:E6)+SUM($B$9:E9))&lt;0,999.99,SUM($B$10:E10)/(SUM($B$6:E6)+SUM($B$9:E9))),"")</f>
        <v>0.1410377775576482</v>
      </c>
      <c r="F12" s="82">
        <f>IF(F13="Yes",IF(SUM($B$10:F10)/(SUM($B$6:F6)+SUM($B$9:F9))&lt;0,999.99,SUM($B$10:F10)/(SUM($B$6:F6)+SUM($B$9:F9))),"")</f>
        <v>0.1684852047522524</v>
      </c>
      <c r="G12" s="82">
        <f>IF(G13="Yes",IF(SUM($B$10:G10)/(SUM($B$6:G6)+SUM($B$9:G9))&lt;0,999.99,SUM($B$10:G10)/(SUM($B$6:G6)+SUM($B$9:G9))),"")</f>
        <v>0.1174622811420435</v>
      </c>
      <c r="H12" s="82">
        <f>IF(H13="Yes",IF(SUM($B$10:H10)/(SUM($B$6:H6)+SUM($B$9:H9))&lt;0,999.99,SUM($B$10:H10)/(SUM($B$6:H6)+SUM($B$9:H9))),"")</f>
        <v>0.1321754773222449</v>
      </c>
      <c r="I12" s="82">
        <f>IF(I13="Yes",IF(SUM($B$10:I10)/(SUM($B$6:I6)+SUM($B$9:I9))&lt;0,999.99,SUM($B$10:I10)/(SUM($B$6:I6)+SUM($B$9:I9))),"")</f>
        <v>0.1456983971687832</v>
      </c>
      <c r="J12" s="82">
        <f>IF(J13="Yes",IF(SUM($B$10:J10)/(SUM($B$6:J6)+SUM($B$9:J9))&lt;0,999.99,SUM($B$10:J10)/(SUM($B$6:J6)+SUM($B$9:J9))),"")</f>
        <v>0.1582690180357499</v>
      </c>
      <c r="K12" s="82">
        <f>IF(K13="Yes",IF(SUM($B$10:K10)/(SUM($B$6:K6)+SUM($B$9:K9))&lt;0,999.99,SUM($B$10:K10)/(SUM($B$6:K6)+SUM($B$9:K9))),"")</f>
        <v>0.1682759615021502</v>
      </c>
      <c r="L12" s="82">
        <f>IF(L13="Yes",IF(SUM($B$10:L10)/(SUM($B$6:L6)+SUM($B$9:L9))&lt;0,999.99,SUM($B$10:L10)/(SUM($B$6:L6)+SUM($B$9:L9))),"")</f>
        <v>0.1795718943103559</v>
      </c>
      <c r="M12" s="82">
        <f>IF(M13="Yes",IF(SUM($B$10:M10)/(SUM($B$6:M6)+SUM($B$9:M9))&lt;0,999.99,SUM($B$10:M10)/(SUM($B$6:M6)+SUM($B$9:M9))),"")</f>
        <v>0.148328493244627</v>
      </c>
      <c r="N12" s="82">
        <f>IF(N13="Yes",IF(SUM($B$10:N10)/(SUM($B$6:N6)+SUM($B$9:N9))&lt;0,999.99,SUM($B$10:N10)/(SUM($B$6:N6)+SUM($B$9:N9))),"")</f>
        <v>0.1558703362952991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479331.4930709715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479331.4930709715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479331.4930709715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479331.4930709715</v>
      </c>
      <c r="Z19" s="36">
        <f>SUMIF($B$13:$Y$13,"Yes",B19:Y19)</f>
        <v>958662.986141943</v>
      </c>
      <c r="AA19" s="36">
        <f>SUM(B19:M19)</f>
        <v>958662.986141943</v>
      </c>
      <c r="AB19" s="36">
        <f>SUM(B19:Y19)</f>
        <v>1917325.972283886</v>
      </c>
      <c r="AC19" s="43"/>
      <c r="AD19" s="43"/>
    </row>
    <row r="20" spans="1:30">
      <c r="A20" t="str">
        <f>IF(Calculations!A6&lt;&gt;Parameters!$A$18,IF(Calculations!A6=0,"",Calculations!A6),Inputs!B9)</f>
        <v>Coffee</v>
      </c>
      <c r="B20" s="36">
        <f>N20</f>
        <v>5312.665612144141</v>
      </c>
      <c r="C20" s="36">
        <f>O20</f>
        <v>10625.33122428828</v>
      </c>
      <c r="D20" s="36">
        <f>P20</f>
        <v>13281.66403036035</v>
      </c>
      <c r="E20" s="36">
        <f>Q20</f>
        <v>13281.66403036035</v>
      </c>
      <c r="F20" s="36">
        <f>R20</f>
        <v>13281.66403036035</v>
      </c>
      <c r="G20" s="36">
        <f>S20</f>
        <v>10625.33122428828</v>
      </c>
      <c r="H20" s="36">
        <f>T20</f>
        <v>5312.665612144141</v>
      </c>
      <c r="I20" s="36">
        <f>U20</f>
        <v>0</v>
      </c>
      <c r="J20" s="36">
        <f>V20</f>
        <v>13281.66403036035</v>
      </c>
      <c r="K20" s="36">
        <f>W20</f>
        <v>13281.66403036035</v>
      </c>
      <c r="L20" s="36">
        <f>X20</f>
        <v>5312.665612144141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5312.665612144141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10625.33122428828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13281.66403036035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13281.66403036035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13281.66403036035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10625.33122428828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5312.665612144141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13281.66403036035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13281.66403036035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5312.665612144141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108909.6450489549</v>
      </c>
      <c r="AA20" s="36">
        <f>SUM(B20:M20)</f>
        <v>103596.9794368107</v>
      </c>
      <c r="AB20" s="36">
        <f>SUM(B20:Y20)</f>
        <v>207193.9588736215</v>
      </c>
    </row>
    <row r="21" spans="1:30">
      <c r="A21" t="str">
        <f>IF(Calculations!A7&lt;&gt;Parameters!$A$18,IF(Calculations!A7=0,"",Calculations!A7),Inputs!B10)</f>
        <v>Potatoes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128609.022556391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108359.375</v>
      </c>
      <c r="C24" s="36">
        <f>IFERROR(Calculations!$P14/12,"")</f>
        <v>108359.375</v>
      </c>
      <c r="D24" s="36">
        <f>IFERROR(Calculations!$P14/12,"")</f>
        <v>108359.375</v>
      </c>
      <c r="E24" s="36">
        <f>IFERROR(Calculations!$P14/12,"")</f>
        <v>108359.375</v>
      </c>
      <c r="F24" s="36">
        <f>IFERROR(Calculations!$P14/12,"")</f>
        <v>108359.375</v>
      </c>
      <c r="G24" s="36">
        <f>IFERROR(Calculations!$P14/12,"")</f>
        <v>108359.375</v>
      </c>
      <c r="H24" s="36">
        <f>IFERROR(Calculations!$P14/12,"")</f>
        <v>108359.375</v>
      </c>
      <c r="I24" s="36">
        <f>IFERROR(Calculations!$P14/12,"")</f>
        <v>108359.375</v>
      </c>
      <c r="J24" s="36">
        <f>IFERROR(Calculations!$P14/12,"")</f>
        <v>108359.375</v>
      </c>
      <c r="K24" s="36">
        <f>IFERROR(Calculations!$P14/12,"")</f>
        <v>108359.375</v>
      </c>
      <c r="L24" s="36">
        <f>IFERROR(Calculations!$P14/12,"")</f>
        <v>108359.375</v>
      </c>
      <c r="M24" s="36">
        <f>IFERROR(Calculations!$P14/12,"")</f>
        <v>108359.375</v>
      </c>
      <c r="N24" s="36">
        <f>IFERROR(Calculations!$P14/12,"")</f>
        <v>108359.375</v>
      </c>
      <c r="O24" s="36">
        <f>IFERROR(Calculations!$P14/12,"")</f>
        <v>108359.375</v>
      </c>
      <c r="P24" s="36">
        <f>IFERROR(Calculations!$P14/12,"")</f>
        <v>108359.375</v>
      </c>
      <c r="Q24" s="36">
        <f>IFERROR(Calculations!$P14/12,"")</f>
        <v>108359.375</v>
      </c>
      <c r="R24" s="36">
        <f>IFERROR(Calculations!$P14/12,"")</f>
        <v>108359.375</v>
      </c>
      <c r="S24" s="36">
        <f>IFERROR(Calculations!$P14/12,"")</f>
        <v>108359.375</v>
      </c>
      <c r="T24" s="36">
        <f>IFERROR(Calculations!$P14/12,"")</f>
        <v>108359.375</v>
      </c>
      <c r="U24" s="36">
        <f>IFERROR(Calculations!$P14/12,"")</f>
        <v>108359.375</v>
      </c>
      <c r="V24" s="36">
        <f>IFERROR(Calculations!$P14/12,"")</f>
        <v>108359.375</v>
      </c>
      <c r="W24" s="36">
        <f>IFERROR(Calculations!$P14/12,"")</f>
        <v>108359.375</v>
      </c>
      <c r="X24" s="36">
        <f>IFERROR(Calculations!$P14/12,"")</f>
        <v>108359.375</v>
      </c>
      <c r="Y24" s="36">
        <f>IFERROR(Calculations!$P14/12,"")</f>
        <v>108359.375</v>
      </c>
      <c r="Z24" s="36">
        <f>SUMIF($B$13:$Y$13,"Yes",B24:Y24)</f>
        <v>1408671.875</v>
      </c>
      <c r="AA24" s="36">
        <f>SUM(B24:M24)</f>
        <v>1300312.5</v>
      </c>
      <c r="AB24" s="46">
        <f>SUM(B24:Y24)</f>
        <v>2600625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81250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81250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200000</v>
      </c>
      <c r="C29" s="37">
        <f>Inputs!$B$30</f>
        <v>200000</v>
      </c>
      <c r="D29" s="37">
        <f>Inputs!$B$30</f>
        <v>200000</v>
      </c>
      <c r="E29" s="37">
        <f>Inputs!$B$30</f>
        <v>200000</v>
      </c>
      <c r="F29" s="37">
        <f>Inputs!$B$30</f>
        <v>200000</v>
      </c>
      <c r="G29" s="37">
        <f>Inputs!$B$30</f>
        <v>200000</v>
      </c>
      <c r="H29" s="37">
        <f>Inputs!$B$30</f>
        <v>200000</v>
      </c>
      <c r="I29" s="37">
        <f>Inputs!$B$30</f>
        <v>200000</v>
      </c>
      <c r="J29" s="37">
        <f>Inputs!$B$30</f>
        <v>200000</v>
      </c>
      <c r="K29" s="37">
        <f>Inputs!$B$30</f>
        <v>200000</v>
      </c>
      <c r="L29" s="37">
        <f>Inputs!$B$30</f>
        <v>200000</v>
      </c>
      <c r="M29" s="37">
        <f>Inputs!$B$30</f>
        <v>200000</v>
      </c>
      <c r="N29" s="37">
        <f>Inputs!$B$30</f>
        <v>200000</v>
      </c>
      <c r="O29" s="37">
        <f>Inputs!$B$30</f>
        <v>200000</v>
      </c>
      <c r="P29" s="37">
        <f>Inputs!$B$30</f>
        <v>200000</v>
      </c>
      <c r="Q29" s="37">
        <f>Inputs!$B$30</f>
        <v>200000</v>
      </c>
      <c r="R29" s="37">
        <f>Inputs!$B$30</f>
        <v>200000</v>
      </c>
      <c r="S29" s="37">
        <f>Inputs!$B$30</f>
        <v>200000</v>
      </c>
      <c r="T29" s="37">
        <f>Inputs!$B$30</f>
        <v>200000</v>
      </c>
      <c r="U29" s="37">
        <f>Inputs!$B$30</f>
        <v>200000</v>
      </c>
      <c r="V29" s="37">
        <f>Inputs!$B$30</f>
        <v>200000</v>
      </c>
      <c r="W29" s="37">
        <f>Inputs!$B$30</f>
        <v>200000</v>
      </c>
      <c r="X29" s="37">
        <f>Inputs!$B$30</f>
        <v>200000</v>
      </c>
      <c r="Y29" s="37">
        <f>Inputs!$B$30</f>
        <v>200000</v>
      </c>
      <c r="Z29" s="37">
        <f>SUMIF($B$13:$Y$13,"Yes",B29:Y29)</f>
        <v>2600000</v>
      </c>
      <c r="AA29" s="37">
        <f>SUM(B29:M29)</f>
        <v>2400000</v>
      </c>
      <c r="AB29" s="37">
        <f>SUM(B29:Y29)</f>
        <v>4800000</v>
      </c>
    </row>
    <row r="30" spans="1:30" customHeight="1" ht="15.75">
      <c r="A30" s="1" t="s">
        <v>37</v>
      </c>
      <c r="B30" s="19">
        <f>SUM(B18:B29)</f>
        <v>313672.0406121442</v>
      </c>
      <c r="C30" s="19">
        <f>SUM(C18:C29)</f>
        <v>318984.7062242883</v>
      </c>
      <c r="D30" s="19">
        <f>SUM(D18:D29)</f>
        <v>321641.0390303603</v>
      </c>
      <c r="E30" s="19">
        <f>SUM(E18:E29)</f>
        <v>321641.0390303603</v>
      </c>
      <c r="F30" s="19">
        <f>SUM(F18:F29)</f>
        <v>321641.0390303603</v>
      </c>
      <c r="G30" s="19">
        <f>SUM(G18:G29)</f>
        <v>798316.1992952598</v>
      </c>
      <c r="H30" s="19">
        <f>SUM(H18:H29)</f>
        <v>313672.0406121442</v>
      </c>
      <c r="I30" s="19">
        <f>SUM(I18:I29)</f>
        <v>308359.375</v>
      </c>
      <c r="J30" s="19">
        <f>SUM(J18:J29)</f>
        <v>321641.0390303603</v>
      </c>
      <c r="K30" s="19">
        <f>SUM(K18:K29)</f>
        <v>321641.0390303603</v>
      </c>
      <c r="L30" s="19">
        <f>SUM(L18:L29)</f>
        <v>313672.0406121442</v>
      </c>
      <c r="M30" s="19">
        <f>SUM(M18:M29)</f>
        <v>787690.8680709715</v>
      </c>
      <c r="N30" s="19">
        <f>SUM(N18:N29)</f>
        <v>313672.0406121442</v>
      </c>
      <c r="O30" s="19">
        <f>SUM(O18:O29)</f>
        <v>400234.7062242883</v>
      </c>
      <c r="P30" s="19">
        <f>SUM(P18:P29)</f>
        <v>321641.0390303603</v>
      </c>
      <c r="Q30" s="19">
        <f>SUM(Q18:Q29)</f>
        <v>321641.0390303603</v>
      </c>
      <c r="R30" s="19">
        <f>SUM(R18:R29)</f>
        <v>321641.0390303603</v>
      </c>
      <c r="S30" s="19">
        <f>SUM(S18:S29)</f>
        <v>798316.1992952598</v>
      </c>
      <c r="T30" s="19">
        <f>SUM(T18:T29)</f>
        <v>313672.0406121442</v>
      </c>
      <c r="U30" s="19">
        <f>SUM(U18:U29)</f>
        <v>308359.375</v>
      </c>
      <c r="V30" s="19">
        <f>SUM(V18:V29)</f>
        <v>321641.0390303603</v>
      </c>
      <c r="W30" s="19">
        <f>SUM(W18:W29)</f>
        <v>321641.0390303603</v>
      </c>
      <c r="X30" s="19">
        <f>SUM(X18:X29)</f>
        <v>313672.0406121442</v>
      </c>
      <c r="Y30" s="19">
        <f>SUM(Y18:Y29)</f>
        <v>787690.8680709715</v>
      </c>
      <c r="Z30" s="19">
        <f>SUMIF($B$13:$Y$13,"Yes",B30:Y30)</f>
        <v>5076244.506190899</v>
      </c>
      <c r="AA30" s="19">
        <f>SUM(B30:M30)</f>
        <v>4762572.465578754</v>
      </c>
      <c r="AB30" s="19">
        <f>SUM(B30:Y30)</f>
        <v>9606394.931157507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833.3333333333334</v>
      </c>
      <c r="C36" s="36">
        <f>O36</f>
        <v>833.3333333333334</v>
      </c>
      <c r="D36" s="36">
        <f>P36</f>
        <v>10833.33333333333</v>
      </c>
      <c r="E36" s="36">
        <f>Q36</f>
        <v>833.3333333333334</v>
      </c>
      <c r="F36" s="36">
        <f>R36</f>
        <v>833.3333333333334</v>
      </c>
      <c r="G36" s="36">
        <f>S36</f>
        <v>833.3333333333334</v>
      </c>
      <c r="H36" s="36">
        <f>T36</f>
        <v>833.3333333333334</v>
      </c>
      <c r="I36" s="36">
        <f>U36</f>
        <v>833.3333333333334</v>
      </c>
      <c r="J36" s="36">
        <f>V36</f>
        <v>10833.33333333333</v>
      </c>
      <c r="K36" s="36">
        <f>W36</f>
        <v>833.3333333333334</v>
      </c>
      <c r="L36" s="36">
        <f>X36</f>
        <v>833.3333333333334</v>
      </c>
      <c r="M36" s="36">
        <f>Y36</f>
        <v>833.3333333333334</v>
      </c>
      <c r="N36" s="36">
        <f>SUM(N37:N41)</f>
        <v>833.3333333333334</v>
      </c>
      <c r="O36" s="36">
        <f>SUM(O37:O41)</f>
        <v>833.3333333333334</v>
      </c>
      <c r="P36" s="36">
        <f>SUM(P37:P41)</f>
        <v>10833.33333333333</v>
      </c>
      <c r="Q36" s="36">
        <f>SUM(Q37:Q41)</f>
        <v>833.3333333333334</v>
      </c>
      <c r="R36" s="36">
        <f>SUM(R37:R41)</f>
        <v>833.3333333333334</v>
      </c>
      <c r="S36" s="36">
        <f>SUM(S37:S41)</f>
        <v>833.3333333333334</v>
      </c>
      <c r="T36" s="36">
        <f>SUM(T37:T41)</f>
        <v>833.3333333333334</v>
      </c>
      <c r="U36" s="36">
        <f>SUM(U37:U41)</f>
        <v>833.3333333333334</v>
      </c>
      <c r="V36" s="36">
        <f>SUM(V37:V41)</f>
        <v>10833.33333333333</v>
      </c>
      <c r="W36" s="36">
        <f>SUM(W37:W41)</f>
        <v>833.3333333333334</v>
      </c>
      <c r="X36" s="36">
        <f>SUM(X37:X41)</f>
        <v>833.3333333333334</v>
      </c>
      <c r="Y36" s="36">
        <f>SUM(Y37:Y41)</f>
        <v>833.3333333333334</v>
      </c>
      <c r="Z36" s="36">
        <f>SUMIF($B$13:$Y$13,"Yes",B36:Y36)</f>
        <v>30833.33333333333</v>
      </c>
      <c r="AA36" s="36">
        <f>SUM(B36:M36)</f>
        <v>30000</v>
      </c>
      <c r="AB36" s="36">
        <f>SUM(B36:Y36)</f>
        <v>60000.00000000001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10000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10000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10000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10000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20000</v>
      </c>
      <c r="AA38" s="36">
        <f>SUM(B38:M38)</f>
        <v>20000</v>
      </c>
      <c r="AB38" s="36">
        <f>SUM(B38:Y38)</f>
        <v>40000</v>
      </c>
      <c r="AC38" s="73"/>
    </row>
    <row r="39" spans="1:30" hidden="true" outlineLevel="1">
      <c r="A39" s="181" t="str">
        <f>Calculations!$A$6</f>
        <v>Coffee</v>
      </c>
      <c r="B39" s="36">
        <f>N39</f>
        <v>833.3333333333334</v>
      </c>
      <c r="C39" s="36">
        <f>O39</f>
        <v>833.3333333333334</v>
      </c>
      <c r="D39" s="36">
        <f>P39</f>
        <v>833.3333333333334</v>
      </c>
      <c r="E39" s="36">
        <f>Q39</f>
        <v>833.3333333333334</v>
      </c>
      <c r="F39" s="36">
        <f>R39</f>
        <v>833.3333333333334</v>
      </c>
      <c r="G39" s="36">
        <f>S39</f>
        <v>833.3333333333334</v>
      </c>
      <c r="H39" s="36">
        <f>T39</f>
        <v>833.3333333333334</v>
      </c>
      <c r="I39" s="36">
        <f>U39</f>
        <v>833.3333333333334</v>
      </c>
      <c r="J39" s="36">
        <f>V39</f>
        <v>833.3333333333334</v>
      </c>
      <c r="K39" s="36">
        <f>W39</f>
        <v>833.3333333333334</v>
      </c>
      <c r="L39" s="36">
        <f>X39</f>
        <v>833.3333333333334</v>
      </c>
      <c r="M39" s="36">
        <f>Y39</f>
        <v>833.3333333333334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833.3333333333334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833.3333333333334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833.3333333333334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833.3333333333334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833.3333333333334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833.3333333333334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833.3333333333334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833.3333333333334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833.3333333333334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833.3333333333334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833.3333333333334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833.3333333333334</v>
      </c>
      <c r="Z39" s="36">
        <f>SUMIF($B$13:$Y$13,"Yes",B39:Y39)</f>
        <v>10833.33333333333</v>
      </c>
      <c r="AA39" s="36">
        <f>SUM(B39:M39)</f>
        <v>10000</v>
      </c>
      <c r="AB39" s="36">
        <f>SUM(B39:Y39)</f>
        <v>20000</v>
      </c>
      <c r="AC39" s="73"/>
    </row>
    <row r="40" spans="1:30" hidden="true" outlineLevel="1">
      <c r="A40" s="181" t="str">
        <f>Calculations!$A$7</f>
        <v>Potatoes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3030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3030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3030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3030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6060</v>
      </c>
      <c r="AA42" s="36">
        <f>SUM(B42:M42)</f>
        <v>6060</v>
      </c>
      <c r="AB42" s="36">
        <f>SUM(B42:Y42)</f>
        <v>12120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3030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3030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3030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3030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6060</v>
      </c>
      <c r="AA44" s="36">
        <f>SUM(B44:M44)</f>
        <v>6060</v>
      </c>
      <c r="AB44" s="36">
        <f>SUM(B44:Y44)</f>
        <v>12120</v>
      </c>
    </row>
    <row r="45" spans="1:30" hidden="true" outlineLevel="1">
      <c r="A45" s="181" t="str">
        <f>Calculations!$A$6</f>
        <v>Coffee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Potatoes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14000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14000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14000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14000</v>
      </c>
      <c r="Y48" s="46">
        <f>SUM(Y49:Y53)</f>
        <v>0</v>
      </c>
      <c r="Z48" s="46">
        <f>SUMIF($B$13:$Y$13,"Yes",B48:Y48)</f>
        <v>28000</v>
      </c>
      <c r="AA48" s="46">
        <f>SUM(B48:M48)</f>
        <v>28000</v>
      </c>
      <c r="AB48" s="46">
        <f>SUM(B48:Y48)</f>
        <v>56000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14000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14000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14000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14000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28000</v>
      </c>
      <c r="AA50" s="46">
        <f>SUM(B50:M50)</f>
        <v>28000</v>
      </c>
      <c r="AB50" s="46">
        <f>SUM(B50:Y50)</f>
        <v>56000</v>
      </c>
    </row>
    <row r="51" spans="1:30" hidden="true" outlineLevel="1">
      <c r="A51" s="181" t="str">
        <f>Calculations!$A$6</f>
        <v>Coffee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Potatoes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Coffee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Potatoes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Coffee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Potatoes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24479.16666666667</v>
      </c>
      <c r="C66" s="36">
        <f>O66</f>
        <v>24479.16666666667</v>
      </c>
      <c r="D66" s="36">
        <f>P66</f>
        <v>29166.66666666667</v>
      </c>
      <c r="E66" s="36">
        <f>Q66</f>
        <v>29166.66666666667</v>
      </c>
      <c r="F66" s="36">
        <f>R66</f>
        <v>29166.66666666667</v>
      </c>
      <c r="G66" s="36">
        <f>S66</f>
        <v>29166.66666666667</v>
      </c>
      <c r="H66" s="36">
        <f>T66</f>
        <v>24479.16666666667</v>
      </c>
      <c r="I66" s="36">
        <f>U66</f>
        <v>24479.16666666667</v>
      </c>
      <c r="J66" s="36">
        <f>V66</f>
        <v>29166.66666666667</v>
      </c>
      <c r="K66" s="36">
        <f>W66</f>
        <v>29166.66666666667</v>
      </c>
      <c r="L66" s="36">
        <f>X66</f>
        <v>29166.66666666667</v>
      </c>
      <c r="M66" s="36">
        <f>Y66</f>
        <v>29166.66666666667</v>
      </c>
      <c r="N66" s="46">
        <f>SUM(N67:N71)</f>
        <v>24479.16666666667</v>
      </c>
      <c r="O66" s="46">
        <f>SUM(O67:O71)</f>
        <v>24479.16666666667</v>
      </c>
      <c r="P66" s="46">
        <f>SUM(P67:P71)</f>
        <v>29166.66666666667</v>
      </c>
      <c r="Q66" s="46">
        <f>SUM(Q67:Q71)</f>
        <v>29166.66666666667</v>
      </c>
      <c r="R66" s="46">
        <f>SUM(R67:R71)</f>
        <v>29166.66666666667</v>
      </c>
      <c r="S66" s="46">
        <f>SUM(S67:S71)</f>
        <v>29166.66666666667</v>
      </c>
      <c r="T66" s="46">
        <f>SUM(T67:T71)</f>
        <v>24479.16666666667</v>
      </c>
      <c r="U66" s="46">
        <f>SUM(U67:U71)</f>
        <v>24479.16666666667</v>
      </c>
      <c r="V66" s="46">
        <f>SUM(V67:V71)</f>
        <v>29166.66666666667</v>
      </c>
      <c r="W66" s="46">
        <f>SUM(W67:W71)</f>
        <v>29166.66666666667</v>
      </c>
      <c r="X66" s="46">
        <f>SUM(X67:X71)</f>
        <v>29166.66666666667</v>
      </c>
      <c r="Y66" s="46">
        <f>SUM(Y67:Y71)</f>
        <v>29166.66666666667</v>
      </c>
      <c r="Z66" s="46">
        <f>SUMIF($B$13:$Y$13,"Yes",B66:Y66)</f>
        <v>355729.1666666667</v>
      </c>
      <c r="AA66" s="46">
        <f>SUM(B66:M66)</f>
        <v>331250</v>
      </c>
      <c r="AB66" s="46">
        <f>SUM(B66:Y66)</f>
        <v>662500</v>
      </c>
    </row>
    <row r="67" spans="1:30" hidden="true" outlineLevel="1">
      <c r="A67" s="181" t="str">
        <f>Calculations!$A$4</f>
        <v>Tomatoes</v>
      </c>
      <c r="B67" s="36">
        <f>N67</f>
        <v>21875</v>
      </c>
      <c r="C67" s="36">
        <f>O67</f>
        <v>21875</v>
      </c>
      <c r="D67" s="36">
        <f>P67</f>
        <v>21875</v>
      </c>
      <c r="E67" s="36">
        <f>Q67</f>
        <v>21875</v>
      </c>
      <c r="F67" s="36">
        <f>R67</f>
        <v>21875</v>
      </c>
      <c r="G67" s="36">
        <f>S67</f>
        <v>21875</v>
      </c>
      <c r="H67" s="36">
        <f>T67</f>
        <v>21875</v>
      </c>
      <c r="I67" s="36">
        <f>U67</f>
        <v>21875</v>
      </c>
      <c r="J67" s="36">
        <f>V67</f>
        <v>21875</v>
      </c>
      <c r="K67" s="36">
        <f>W67</f>
        <v>21875</v>
      </c>
      <c r="L67" s="36">
        <f>X67</f>
        <v>21875</v>
      </c>
      <c r="M67" s="36">
        <f>Y67</f>
        <v>21875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21875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21875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21875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21875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21875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21875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21875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21875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21875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21875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21875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21875</v>
      </c>
      <c r="Z67" s="46">
        <f>SUMIF($B$13:$Y$13,"Yes",B67:Y67)</f>
        <v>284375</v>
      </c>
      <c r="AA67" s="46">
        <f>SUM(B67:M67)</f>
        <v>262500</v>
      </c>
      <c r="AB67" s="46">
        <f>SUM(B67:Y67)</f>
        <v>525000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0</v>
      </c>
      <c r="D68" s="36">
        <f>P68</f>
        <v>4687.5</v>
      </c>
      <c r="E68" s="36">
        <f>Q68</f>
        <v>4687.5</v>
      </c>
      <c r="F68" s="36">
        <f>R68</f>
        <v>4687.5</v>
      </c>
      <c r="G68" s="36">
        <f>S68</f>
        <v>4687.5</v>
      </c>
      <c r="H68" s="36">
        <f>T68</f>
        <v>0</v>
      </c>
      <c r="I68" s="36">
        <f>U68</f>
        <v>0</v>
      </c>
      <c r="J68" s="36">
        <f>V68</f>
        <v>4687.5</v>
      </c>
      <c r="K68" s="36">
        <f>W68</f>
        <v>4687.5</v>
      </c>
      <c r="L68" s="36">
        <f>X68</f>
        <v>4687.5</v>
      </c>
      <c r="M68" s="36">
        <f>Y68</f>
        <v>4687.5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4687.5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4687.5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4687.5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4687.5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4687.5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4687.5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4687.5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4687.5</v>
      </c>
      <c r="Z68" s="46">
        <f>SUMIF($B$13:$Y$13,"Yes",B68:Y68)</f>
        <v>37500</v>
      </c>
      <c r="AA68" s="46">
        <f>SUM(B68:M68)</f>
        <v>37500</v>
      </c>
      <c r="AB68" s="46">
        <f>SUM(B68:Y68)</f>
        <v>75000</v>
      </c>
    </row>
    <row r="69" spans="1:30" hidden="true" outlineLevel="1">
      <c r="A69" s="181" t="str">
        <f>Calculations!$A$6</f>
        <v>Coffee</v>
      </c>
      <c r="B69" s="36">
        <f>N69</f>
        <v>2604.166666666667</v>
      </c>
      <c r="C69" s="36">
        <f>O69</f>
        <v>2604.166666666667</v>
      </c>
      <c r="D69" s="36">
        <f>P69</f>
        <v>2604.166666666667</v>
      </c>
      <c r="E69" s="36">
        <f>Q69</f>
        <v>2604.166666666667</v>
      </c>
      <c r="F69" s="36">
        <f>R69</f>
        <v>2604.166666666667</v>
      </c>
      <c r="G69" s="36">
        <f>S69</f>
        <v>2604.166666666667</v>
      </c>
      <c r="H69" s="36">
        <f>T69</f>
        <v>2604.166666666667</v>
      </c>
      <c r="I69" s="36">
        <f>U69</f>
        <v>2604.166666666667</v>
      </c>
      <c r="J69" s="36">
        <f>V69</f>
        <v>2604.166666666667</v>
      </c>
      <c r="K69" s="36">
        <f>W69</f>
        <v>2604.166666666667</v>
      </c>
      <c r="L69" s="36">
        <f>X69</f>
        <v>2604.166666666667</v>
      </c>
      <c r="M69" s="36">
        <f>Y69</f>
        <v>2604.166666666667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2604.166666666667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2604.166666666667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2604.166666666667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2604.166666666667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2604.166666666667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2604.166666666667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2604.166666666667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2604.166666666667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2604.166666666667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2604.166666666667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2604.166666666667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2604.166666666667</v>
      </c>
      <c r="Z69" s="46">
        <f>SUMIF($B$13:$Y$13,"Yes",B69:Y69)</f>
        <v>33854.16666666667</v>
      </c>
      <c r="AA69" s="46">
        <f>SUM(B69:M69)</f>
        <v>31250</v>
      </c>
      <c r="AB69" s="46">
        <f>SUM(B69:Y69)</f>
        <v>62499.99999999998</v>
      </c>
    </row>
    <row r="70" spans="1:30" hidden="true" outlineLevel="1">
      <c r="A70" s="181" t="str">
        <f>Calculations!$A$7</f>
        <v>Potatoes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15208.33333333333</v>
      </c>
      <c r="C74" s="46">
        <f>SUM(Calculations!$Q$14:$Q$16)/12</f>
        <v>15208.33333333333</v>
      </c>
      <c r="D74" s="46">
        <f>SUM(Calculations!$Q$14:$Q$16)/12</f>
        <v>15208.33333333333</v>
      </c>
      <c r="E74" s="46">
        <f>SUM(Calculations!$Q$14:$Q$16)/12</f>
        <v>15208.33333333333</v>
      </c>
      <c r="F74" s="46">
        <f>SUM(Calculations!$Q$14:$Q$16)/12</f>
        <v>15208.33333333333</v>
      </c>
      <c r="G74" s="46">
        <f>SUM(Calculations!$Q$14:$Q$16)/12</f>
        <v>15208.33333333333</v>
      </c>
      <c r="H74" s="46">
        <f>SUM(Calculations!$Q$14:$Q$16)/12</f>
        <v>15208.33333333333</v>
      </c>
      <c r="I74" s="46">
        <f>SUM(Calculations!$Q$14:$Q$16)/12</f>
        <v>15208.33333333333</v>
      </c>
      <c r="J74" s="46">
        <f>SUM(Calculations!$Q$14:$Q$16)/12</f>
        <v>15208.33333333333</v>
      </c>
      <c r="K74" s="46">
        <f>SUM(Calculations!$Q$14:$Q$16)/12</f>
        <v>15208.33333333333</v>
      </c>
      <c r="L74" s="46">
        <f>SUM(Calculations!$Q$14:$Q$16)/12</f>
        <v>15208.33333333333</v>
      </c>
      <c r="M74" s="46">
        <f>SUM(Calculations!$Q$14:$Q$16)/12</f>
        <v>15208.33333333333</v>
      </c>
      <c r="N74" s="46">
        <f>SUM(Calculations!$Q$14:$Q$16)/12</f>
        <v>15208.33333333333</v>
      </c>
      <c r="O74" s="46">
        <f>SUM(Calculations!$Q$14:$Q$16)/12</f>
        <v>15208.33333333333</v>
      </c>
      <c r="P74" s="46">
        <f>SUM(Calculations!$Q$14:$Q$16)/12</f>
        <v>15208.33333333333</v>
      </c>
      <c r="Q74" s="46">
        <f>SUM(Calculations!$Q$14:$Q$16)/12</f>
        <v>15208.33333333333</v>
      </c>
      <c r="R74" s="46">
        <f>SUM(Calculations!$Q$14:$Q$16)/12</f>
        <v>15208.33333333333</v>
      </c>
      <c r="S74" s="46">
        <f>SUM(Calculations!$Q$14:$Q$16)/12</f>
        <v>15208.33333333333</v>
      </c>
      <c r="T74" s="46">
        <f>SUM(Calculations!$Q$14:$Q$16)/12</f>
        <v>15208.33333333333</v>
      </c>
      <c r="U74" s="46">
        <f>SUM(Calculations!$Q$14:$Q$16)/12</f>
        <v>15208.33333333333</v>
      </c>
      <c r="V74" s="46">
        <f>SUM(Calculations!$Q$14:$Q$16)/12</f>
        <v>15208.33333333333</v>
      </c>
      <c r="W74" s="46">
        <f>SUM(Calculations!$Q$14:$Q$16)/12</f>
        <v>15208.33333333333</v>
      </c>
      <c r="X74" s="46">
        <f>SUM(Calculations!$Q$14:$Q$16)/12</f>
        <v>15208.33333333333</v>
      </c>
      <c r="Y74" s="46">
        <f>SUM(Calculations!$Q$14:$Q$16)/12</f>
        <v>15208.33333333333</v>
      </c>
      <c r="Z74" s="46">
        <f>SUMIF($B$13:$Y$13,"Yes",B74:Y74)</f>
        <v>197708.3333333334</v>
      </c>
      <c r="AA74" s="46">
        <f>SUM(B74:M74)</f>
        <v>182500</v>
      </c>
      <c r="AB74" s="46">
        <f>SUM(B74:Y74)</f>
        <v>364999.9999999999</v>
      </c>
    </row>
    <row r="75" spans="1:30">
      <c r="A75" s="16" t="s">
        <v>47</v>
      </c>
      <c r="B75" s="46">
        <f>SUM(Calculations!$R$14:$R$16)/12</f>
        <v>772.2222222222223</v>
      </c>
      <c r="C75" s="46">
        <f>SUM(Calculations!$R$14:$R$16)/12</f>
        <v>772.2222222222223</v>
      </c>
      <c r="D75" s="46">
        <f>SUM(Calculations!$R$14:$R$16)/12</f>
        <v>772.2222222222223</v>
      </c>
      <c r="E75" s="46">
        <f>SUM(Calculations!$R$14:$R$16)/12</f>
        <v>772.2222222222223</v>
      </c>
      <c r="F75" s="46">
        <f>SUM(Calculations!$R$14:$R$16)/12</f>
        <v>772.2222222222223</v>
      </c>
      <c r="G75" s="46">
        <f>SUM(Calculations!$R$14:$R$16)/12</f>
        <v>772.2222222222223</v>
      </c>
      <c r="H75" s="46">
        <f>SUM(Calculations!$R$14:$R$16)/12</f>
        <v>772.2222222222223</v>
      </c>
      <c r="I75" s="46">
        <f>SUM(Calculations!$R$14:$R$16)/12</f>
        <v>772.2222222222223</v>
      </c>
      <c r="J75" s="46">
        <f>SUM(Calculations!$R$14:$R$16)/12</f>
        <v>772.2222222222223</v>
      </c>
      <c r="K75" s="46">
        <f>SUM(Calculations!$R$14:$R$16)/12</f>
        <v>772.2222222222223</v>
      </c>
      <c r="L75" s="46">
        <f>SUM(Calculations!$R$14:$R$16)/12</f>
        <v>772.2222222222223</v>
      </c>
      <c r="M75" s="46">
        <f>SUM(Calculations!$R$14:$R$16)/12</f>
        <v>772.2222222222223</v>
      </c>
      <c r="N75" s="46">
        <f>SUM(Calculations!$R$14:$R$16)/12</f>
        <v>772.2222222222223</v>
      </c>
      <c r="O75" s="46">
        <f>SUM(Calculations!$R$14:$R$16)/12</f>
        <v>772.2222222222223</v>
      </c>
      <c r="P75" s="46">
        <f>SUM(Calculations!$R$14:$R$16)/12</f>
        <v>772.2222222222223</v>
      </c>
      <c r="Q75" s="46">
        <f>SUM(Calculations!$R$14:$R$16)/12</f>
        <v>772.2222222222223</v>
      </c>
      <c r="R75" s="46">
        <f>SUM(Calculations!$R$14:$R$16)/12</f>
        <v>772.2222222222223</v>
      </c>
      <c r="S75" s="46">
        <f>SUM(Calculations!$R$14:$R$16)/12</f>
        <v>772.2222222222223</v>
      </c>
      <c r="T75" s="46">
        <f>SUM(Calculations!$R$14:$R$16)/12</f>
        <v>772.2222222222223</v>
      </c>
      <c r="U75" s="46">
        <f>SUM(Calculations!$R$14:$R$16)/12</f>
        <v>772.2222222222223</v>
      </c>
      <c r="V75" s="46">
        <f>SUM(Calculations!$R$14:$R$16)/12</f>
        <v>772.2222222222223</v>
      </c>
      <c r="W75" s="46">
        <f>SUM(Calculations!$R$14:$R$16)/12</f>
        <v>772.2222222222223</v>
      </c>
      <c r="X75" s="46">
        <f>SUM(Calculations!$R$14:$R$16)/12</f>
        <v>772.2222222222223</v>
      </c>
      <c r="Y75" s="46">
        <f>SUM(Calculations!$R$14:$R$16)/12</f>
        <v>772.2222222222223</v>
      </c>
      <c r="Z75" s="46">
        <f>SUMIF($B$13:$Y$13,"Yes",B75:Y75)</f>
        <v>10038.88888888889</v>
      </c>
      <c r="AA75" s="46">
        <f>SUM(B75:M75)</f>
        <v>9266.66666666667</v>
      </c>
      <c r="AB75" s="46">
        <f>SUM(B75:Y75)</f>
        <v>18533.33333333334</v>
      </c>
    </row>
    <row r="76" spans="1:30">
      <c r="A76" s="16" t="s">
        <v>48</v>
      </c>
      <c r="B76" s="46">
        <f>SUM(Calculations!$S$14:$S$16)/12</f>
        <v>5358.709273182957</v>
      </c>
      <c r="C76" s="46">
        <f>SUM(Calculations!$S$14:$S$16)/12</f>
        <v>5358.709273182957</v>
      </c>
      <c r="D76" s="46">
        <f>SUM(Calculations!$S$14:$S$16)/12</f>
        <v>5358.709273182957</v>
      </c>
      <c r="E76" s="46">
        <f>SUM(Calculations!$S$14:$S$16)/12</f>
        <v>5358.709273182957</v>
      </c>
      <c r="F76" s="46">
        <f>SUM(Calculations!$S$14:$S$16)/12</f>
        <v>5358.709273182957</v>
      </c>
      <c r="G76" s="46">
        <f>SUM(Calculations!$S$14:$S$16)/12</f>
        <v>5358.709273182957</v>
      </c>
      <c r="H76" s="46">
        <f>SUM(Calculations!$S$14:$S$16)/12</f>
        <v>5358.709273182957</v>
      </c>
      <c r="I76" s="46">
        <f>SUM(Calculations!$S$14:$S$16)/12</f>
        <v>5358.709273182957</v>
      </c>
      <c r="J76" s="46">
        <f>SUM(Calculations!$S$14:$S$16)/12</f>
        <v>5358.709273182957</v>
      </c>
      <c r="K76" s="46">
        <f>SUM(Calculations!$S$14:$S$16)/12</f>
        <v>5358.709273182957</v>
      </c>
      <c r="L76" s="46">
        <f>SUM(Calculations!$S$14:$S$16)/12</f>
        <v>5358.709273182957</v>
      </c>
      <c r="M76" s="46">
        <f>SUM(Calculations!$S$14:$S$16)/12</f>
        <v>5358.709273182957</v>
      </c>
      <c r="N76" s="46">
        <f>SUM(Calculations!$S$14:$S$16)/12</f>
        <v>5358.709273182957</v>
      </c>
      <c r="O76" s="46">
        <f>SUM(Calculations!$S$14:$S$16)/12</f>
        <v>5358.709273182957</v>
      </c>
      <c r="P76" s="46">
        <f>SUM(Calculations!$S$14:$S$16)/12</f>
        <v>5358.709273182957</v>
      </c>
      <c r="Q76" s="46">
        <f>SUM(Calculations!$S$14:$S$16)/12</f>
        <v>5358.709273182957</v>
      </c>
      <c r="R76" s="46">
        <f>SUM(Calculations!$S$14:$S$16)/12</f>
        <v>5358.709273182957</v>
      </c>
      <c r="S76" s="46">
        <f>SUM(Calculations!$S$14:$S$16)/12</f>
        <v>5358.709273182957</v>
      </c>
      <c r="T76" s="46">
        <f>SUM(Calculations!$S$14:$S$16)/12</f>
        <v>5358.709273182957</v>
      </c>
      <c r="U76" s="46">
        <f>SUM(Calculations!$S$14:$S$16)/12</f>
        <v>5358.709273182957</v>
      </c>
      <c r="V76" s="46">
        <f>SUM(Calculations!$S$14:$S$16)/12</f>
        <v>5358.709273182957</v>
      </c>
      <c r="W76" s="46">
        <f>SUM(Calculations!$S$14:$S$16)/12</f>
        <v>5358.709273182957</v>
      </c>
      <c r="X76" s="46">
        <f>SUM(Calculations!$S$14:$S$16)/12</f>
        <v>5358.709273182957</v>
      </c>
      <c r="Y76" s="46">
        <f>SUM(Calculations!$S$14:$S$16)/12</f>
        <v>5358.709273182957</v>
      </c>
      <c r="Z76" s="46">
        <f>SUMIF($B$13:$Y$13,"Yes",B76:Y76)</f>
        <v>69663.22055137843</v>
      </c>
      <c r="AA76" s="46">
        <f>SUM(B76:M76)</f>
        <v>64304.51127819547</v>
      </c>
      <c r="AB76" s="46">
        <f>SUM(B76:Y76)</f>
        <v>128609.022556391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129039.7095877964</v>
      </c>
      <c r="C81" s="46">
        <f>(SUM($AA$18:$AA$29)-SUM($AA$36,$AA$42,$AA$48,$AA$54,$AA$60,$AA$66,$AA$72:$AA$79))*Parameters!$B$37/12</f>
        <v>129039.7095877964</v>
      </c>
      <c r="D81" s="46">
        <f>(SUM($AA$18:$AA$29)-SUM($AA$36,$AA$42,$AA$48,$AA$54,$AA$60,$AA$66,$AA$72:$AA$79))*Parameters!$B$37/12</f>
        <v>129039.7095877964</v>
      </c>
      <c r="E81" s="46">
        <f>(SUM($AA$18:$AA$29)-SUM($AA$36,$AA$42,$AA$48,$AA$54,$AA$60,$AA$66,$AA$72:$AA$79))*Parameters!$B$37/12</f>
        <v>129039.7095877964</v>
      </c>
      <c r="F81" s="46">
        <f>(SUM($AA$18:$AA$29)-SUM($AA$36,$AA$42,$AA$48,$AA$54,$AA$60,$AA$66,$AA$72:$AA$79))*Parameters!$B$37/12</f>
        <v>129039.7095877964</v>
      </c>
      <c r="G81" s="46">
        <f>(SUM($AA$18:$AA$29)-SUM($AA$36,$AA$42,$AA$48,$AA$54,$AA$60,$AA$66,$AA$72:$AA$79))*Parameters!$B$37/12</f>
        <v>129039.7095877964</v>
      </c>
      <c r="H81" s="46">
        <f>(SUM($AA$18:$AA$29)-SUM($AA$36,$AA$42,$AA$48,$AA$54,$AA$60,$AA$66,$AA$72:$AA$79))*Parameters!$B$37/12</f>
        <v>129039.7095877964</v>
      </c>
      <c r="I81" s="46">
        <f>(SUM($AA$18:$AA$29)-SUM($AA$36,$AA$42,$AA$48,$AA$54,$AA$60,$AA$66,$AA$72:$AA$79))*Parameters!$B$37/12</f>
        <v>129039.7095877964</v>
      </c>
      <c r="J81" s="46">
        <f>(SUM($AA$18:$AA$29)-SUM($AA$36,$AA$42,$AA$48,$AA$54,$AA$60,$AA$66,$AA$72:$AA$79))*Parameters!$B$37/12</f>
        <v>129039.7095877964</v>
      </c>
      <c r="K81" s="46">
        <f>(SUM($AA$18:$AA$29)-SUM($AA$36,$AA$42,$AA$48,$AA$54,$AA$60,$AA$66,$AA$72:$AA$79))*Parameters!$B$37/12</f>
        <v>129039.7095877964</v>
      </c>
      <c r="L81" s="46">
        <f>(SUM($AA$18:$AA$29)-SUM($AA$36,$AA$42,$AA$48,$AA$54,$AA$60,$AA$66,$AA$72:$AA$79))*Parameters!$B$37/12</f>
        <v>129039.7095877964</v>
      </c>
      <c r="M81" s="46">
        <f>(SUM($AA$18:$AA$29)-SUM($AA$36,$AA$42,$AA$48,$AA$54,$AA$60,$AA$66,$AA$72:$AA$79))*Parameters!$B$37/12</f>
        <v>129039.7095877964</v>
      </c>
      <c r="N81" s="46">
        <f>(SUM($AA$18:$AA$29)-SUM($AA$36,$AA$42,$AA$48,$AA$54,$AA$60,$AA$66,$AA$72:$AA$79))*Parameters!$B$37/12</f>
        <v>129039.7095877964</v>
      </c>
      <c r="O81" s="46">
        <f>(SUM($AA$18:$AA$29)-SUM($AA$36,$AA$42,$AA$48,$AA$54,$AA$60,$AA$66,$AA$72:$AA$79))*Parameters!$B$37/12</f>
        <v>129039.7095877964</v>
      </c>
      <c r="P81" s="46">
        <f>(SUM($AA$18:$AA$29)-SUM($AA$36,$AA$42,$AA$48,$AA$54,$AA$60,$AA$66,$AA$72:$AA$79))*Parameters!$B$37/12</f>
        <v>129039.7095877964</v>
      </c>
      <c r="Q81" s="46">
        <f>(SUM($AA$18:$AA$29)-SUM($AA$36,$AA$42,$AA$48,$AA$54,$AA$60,$AA$66,$AA$72:$AA$79))*Parameters!$B$37/12</f>
        <v>129039.7095877964</v>
      </c>
      <c r="R81" s="46">
        <f>(SUM($AA$18:$AA$29)-SUM($AA$36,$AA$42,$AA$48,$AA$54,$AA$60,$AA$66,$AA$72:$AA$79))*Parameters!$B$37/12</f>
        <v>129039.7095877964</v>
      </c>
      <c r="S81" s="46">
        <f>(SUM($AA$18:$AA$29)-SUM($AA$36,$AA$42,$AA$48,$AA$54,$AA$60,$AA$66,$AA$72:$AA$79))*Parameters!$B$37/12</f>
        <v>129039.7095877964</v>
      </c>
      <c r="T81" s="46">
        <f>(SUM($AA$18:$AA$29)-SUM($AA$36,$AA$42,$AA$48,$AA$54,$AA$60,$AA$66,$AA$72:$AA$79))*Parameters!$B$37/12</f>
        <v>129039.7095877964</v>
      </c>
      <c r="U81" s="46">
        <f>(SUM($AA$18:$AA$29)-SUM($AA$36,$AA$42,$AA$48,$AA$54,$AA$60,$AA$66,$AA$72:$AA$79))*Parameters!$B$37/12</f>
        <v>129039.7095877964</v>
      </c>
      <c r="V81" s="46">
        <f>(SUM($AA$18:$AA$29)-SUM($AA$36,$AA$42,$AA$48,$AA$54,$AA$60,$AA$66,$AA$72:$AA$79))*Parameters!$B$37/12</f>
        <v>129039.7095877964</v>
      </c>
      <c r="W81" s="46">
        <f>(SUM($AA$18:$AA$29)-SUM($AA$36,$AA$42,$AA$48,$AA$54,$AA$60,$AA$66,$AA$72:$AA$79))*Parameters!$B$37/12</f>
        <v>129039.7095877964</v>
      </c>
      <c r="X81" s="46">
        <f>(SUM($AA$18:$AA$29)-SUM($AA$36,$AA$42,$AA$48,$AA$54,$AA$60,$AA$66,$AA$72:$AA$79))*Parameters!$B$37/12</f>
        <v>129039.7095877964</v>
      </c>
      <c r="Y81" s="46">
        <f>(SUM($AA$18:$AA$29)-SUM($AA$36,$AA$42,$AA$48,$AA$54,$AA$60,$AA$66,$AA$72:$AA$79))*Parameters!$B$37/12</f>
        <v>129039.7095877964</v>
      </c>
      <c r="Z81" s="46">
        <f>SUMIF($B$13:$Y$13,"Yes",B81:Y81)</f>
        <v>1677516.224641353</v>
      </c>
      <c r="AA81" s="46">
        <f>SUM(B81:M81)</f>
        <v>1548476.515053557</v>
      </c>
      <c r="AB81" s="46">
        <f>SUM(B81:Y81)</f>
        <v>3096953.030107114</v>
      </c>
    </row>
    <row r="82" spans="1:30">
      <c r="A82" s="16" t="s">
        <v>52</v>
      </c>
      <c r="B82" s="46">
        <f>SUM(B83:B87)</f>
        <v>33160.25641025641</v>
      </c>
      <c r="C82" s="46">
        <f>SUM(C83:C87)</f>
        <v>33160.25641025641</v>
      </c>
      <c r="D82" s="46">
        <f>SUM(D83:D87)</f>
        <v>33160.25641025641</v>
      </c>
      <c r="E82" s="46">
        <f>SUM(E83:E87)</f>
        <v>33160.25641025641</v>
      </c>
      <c r="F82" s="46">
        <f>SUM(F83:F87)</f>
        <v>33160.25641025641</v>
      </c>
      <c r="G82" s="46">
        <f>SUM(G83:G87)</f>
        <v>33160.25641025641</v>
      </c>
      <c r="H82" s="46">
        <f>SUM(H83:H87)</f>
        <v>33160.25641025641</v>
      </c>
      <c r="I82" s="46">
        <f>SUM(I83:I87)</f>
        <v>33160.25641025641</v>
      </c>
      <c r="J82" s="46">
        <f>SUM(J83:J87)</f>
        <v>33160.25641025641</v>
      </c>
      <c r="K82" s="46">
        <f>SUM(K83:K87)</f>
        <v>33160.25641025641</v>
      </c>
      <c r="L82" s="46">
        <f>SUM(L83:L87)</f>
        <v>33160.25641025641</v>
      </c>
      <c r="M82" s="46">
        <f>SUM(M83:M87)</f>
        <v>33160.25641025641</v>
      </c>
      <c r="N82" s="46">
        <f>SUM(N83:N87)</f>
        <v>33160.25641025641</v>
      </c>
      <c r="O82" s="46">
        <f>SUM(O83:O87)</f>
        <v>33160.25641025641</v>
      </c>
      <c r="P82" s="46">
        <f>SUM(P83:P87)</f>
        <v>157006.4102564102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431083.3333333335</v>
      </c>
      <c r="AA82" s="46">
        <f>SUM(B82:M82)</f>
        <v>397923.0769230771</v>
      </c>
      <c r="AB82" s="46">
        <f>SUM(B82:Y82)</f>
        <v>621250.0000000001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33160.25641025641</v>
      </c>
      <c r="C84" s="46">
        <f>IF(Calculations!$E24&gt;COUNT(Output!$B$35:C$35),Calculations!$B24,IF(Calculations!$E24=COUNT(Output!$B$35:C$35),Inputs!$B57-Calculations!$C24*(Calculations!$E24-1)+Calculations!$D24,0))</f>
        <v>33160.25641025641</v>
      </c>
      <c r="D84" s="46">
        <f>IF(Calculations!$E24&gt;COUNT(Output!$B$35:D$35),Calculations!$B24,IF(Calculations!$E24=COUNT(Output!$B$35:D$35),Inputs!$B57-Calculations!$C24*(Calculations!$E24-1)+Calculations!$D24,0))</f>
        <v>33160.25641025641</v>
      </c>
      <c r="E84" s="46">
        <f>IF(Calculations!$E24&gt;COUNT(Output!$B$35:E$35),Calculations!$B24,IF(Calculations!$E24=COUNT(Output!$B$35:E$35),Inputs!$B57-Calculations!$C24*(Calculations!$E24-1)+Calculations!$D24,0))</f>
        <v>33160.25641025641</v>
      </c>
      <c r="F84" s="46">
        <f>IF(Calculations!$E24&gt;COUNT(Output!$B$35:F$35),Calculations!$B24,IF(Calculations!$E24=COUNT(Output!$B$35:F$35),Inputs!$B57-Calculations!$C24*(Calculations!$E24-1)+Calculations!$D24,0))</f>
        <v>33160.25641025641</v>
      </c>
      <c r="G84" s="46">
        <f>IF(Calculations!$E24&gt;COUNT(Output!$B$35:G$35),Calculations!$B24,IF(Calculations!$E24=COUNT(Output!$B$35:G$35),Inputs!$B57-Calculations!$C24*(Calculations!$E24-1)+Calculations!$D24,0))</f>
        <v>33160.25641025641</v>
      </c>
      <c r="H84" s="46">
        <f>IF(Calculations!$E24&gt;COUNT(Output!$B$35:H$35),Calculations!$B24,IF(Calculations!$E24=COUNT(Output!$B$35:H$35),Inputs!$B57-Calculations!$C24*(Calculations!$E24-1)+Calculations!$D24,0))</f>
        <v>33160.25641025641</v>
      </c>
      <c r="I84" s="46">
        <f>IF(Calculations!$E24&gt;COUNT(Output!$B$35:I$35),Calculations!$B24,IF(Calculations!$E24=COUNT(Output!$B$35:I$35),Inputs!$B57-Calculations!$C24*(Calculations!$E24-1)+Calculations!$D24,0))</f>
        <v>33160.25641025641</v>
      </c>
      <c r="J84" s="46">
        <f>IF(Calculations!$E24&gt;COUNT(Output!$B$35:J$35),Calculations!$B24,IF(Calculations!$E24=COUNT(Output!$B$35:J$35),Inputs!$B57-Calculations!$C24*(Calculations!$E24-1)+Calculations!$D24,0))</f>
        <v>33160.25641025641</v>
      </c>
      <c r="K84" s="46">
        <f>IF(Calculations!$E24&gt;COUNT(Output!$B$35:K$35),Calculations!$B24,IF(Calculations!$E24=COUNT(Output!$B$35:K$35),Inputs!$B57-Calculations!$C24*(Calculations!$E24-1)+Calculations!$D24,0))</f>
        <v>33160.25641025641</v>
      </c>
      <c r="L84" s="46">
        <f>IF(Calculations!$E24&gt;COUNT(Output!$B$35:L$35),Calculations!$B24,IF(Calculations!$E24=COUNT(Output!$B$35:L$35),Inputs!$B57-Calculations!$C24*(Calculations!$E24-1)+Calculations!$D24,0))</f>
        <v>33160.25641025641</v>
      </c>
      <c r="M84" s="46">
        <f>IF(Calculations!$E24&gt;COUNT(Output!$B$35:M$35),Calculations!$B24,IF(Calculations!$E24=COUNT(Output!$B$35:M$35),Inputs!$B57-Calculations!$C24*(Calculations!$E24-1)+Calculations!$D24,0))</f>
        <v>33160.25641025641</v>
      </c>
      <c r="N84" s="46">
        <f>IF(Calculations!$E24&gt;COUNT(Output!$B$35:N$35),Calculations!$B24,IF(Calculations!$E24=COUNT(Output!$B$35:N$35),Inputs!$B57-Calculations!$C24*(Calculations!$E24-1)+Calculations!$D24,0))</f>
        <v>33160.25641025641</v>
      </c>
      <c r="O84" s="46">
        <f>IF(Calculations!$E24&gt;COUNT(Output!$B$35:O$35),Calculations!$B24,IF(Calculations!$E24=COUNT(Output!$B$35:O$35),Inputs!$B57-Calculations!$C24*(Calculations!$E24-1)+Calculations!$D24,0))</f>
        <v>33160.25641025641</v>
      </c>
      <c r="P84" s="46">
        <f>IF(Calculations!$E24&gt;COUNT(Output!$B$35:P$35),Calculations!$B24,IF(Calculations!$E24=COUNT(Output!$B$35:P$35),Inputs!$B57-Calculations!$C24*(Calculations!$E24-1)+Calculations!$D24,0))</f>
        <v>157006.4102564102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431083.3333333335</v>
      </c>
      <c r="AA84" s="46">
        <f>SUM(B84:M84)</f>
        <v>397923.0769230771</v>
      </c>
      <c r="AB84" s="46">
        <f>SUM(B84:Y84)</f>
        <v>621250.0000000001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228851.7308267913</v>
      </c>
      <c r="C88" s="19">
        <f>SUM(C72:C82,C66,C60,C54,C48,C42,C36)</f>
        <v>228851.7308267913</v>
      </c>
      <c r="D88" s="19">
        <f>SUM(D72:D82,D66,D60,D54,D48,D42,D36)</f>
        <v>246569.2308267913</v>
      </c>
      <c r="E88" s="19">
        <f>SUM(E72:E82,E66,E60,E54,E48,E42,E36)</f>
        <v>233539.2308267913</v>
      </c>
      <c r="F88" s="19">
        <f>SUM(F72:F82,F66,F60,F54,F48,F42,F36)</f>
        <v>247539.2308267913</v>
      </c>
      <c r="G88" s="19">
        <f>SUM(G72:G82,G66,G60,G54,G48,G42,G36)</f>
        <v>233539.2308267913</v>
      </c>
      <c r="H88" s="19">
        <f>SUM(H72:H82,H66,H60,H54,H48,H42,H36)</f>
        <v>228851.7308267913</v>
      </c>
      <c r="I88" s="19">
        <f>SUM(I72:I82,I66,I60,I54,I48,I42,I36)</f>
        <v>228851.7308267913</v>
      </c>
      <c r="J88" s="19">
        <f>SUM(J72:J82,J66,J60,J54,J48,J42,J36)</f>
        <v>246569.2308267913</v>
      </c>
      <c r="K88" s="19">
        <f>SUM(K72:K82,K66,K60,K54,K48,K42,K36)</f>
        <v>233539.2308267913</v>
      </c>
      <c r="L88" s="19">
        <f>SUM(L72:L82,L66,L60,L54,L48,L42,L36)</f>
        <v>247539.2308267913</v>
      </c>
      <c r="M88" s="19">
        <f>SUM(M72:M82,M66,M60,M54,M48,M42,M36)</f>
        <v>233539.2308267913</v>
      </c>
      <c r="N88" s="19">
        <f>SUM(N72:N82,N66,N60,N54,N48,N42,N36)</f>
        <v>228851.7308267913</v>
      </c>
      <c r="O88" s="19">
        <f>SUM(O72:O82,O66,O60,O54,O48,O42,O36)</f>
        <v>228851.7308267913</v>
      </c>
      <c r="P88" s="19">
        <f>SUM(P72:P82,P66,P60,P54,P48,P42,P36)</f>
        <v>370415.3846729451</v>
      </c>
      <c r="Q88" s="19">
        <f>SUM(Q72:Q82,Q66,Q60,Q54,Q48,Q42,Q36)</f>
        <v>200378.9744165349</v>
      </c>
      <c r="R88" s="19">
        <f>SUM(R72:R82,R66,R60,R54,R48,R42,R36)</f>
        <v>214378.9744165349</v>
      </c>
      <c r="S88" s="19">
        <f>SUM(S72:S82,S66,S60,S54,S48,S42,S36)</f>
        <v>200378.9744165349</v>
      </c>
      <c r="T88" s="19">
        <f>SUM(T72:T82,T66,T60,T54,T48,T42,T36)</f>
        <v>195691.4744165349</v>
      </c>
      <c r="U88" s="19">
        <f>SUM(U72:U82,U66,U60,U54,U48,U42,U36)</f>
        <v>195691.4744165349</v>
      </c>
      <c r="V88" s="19">
        <f>SUM(V72:V82,V66,V60,V54,V48,V42,V36)</f>
        <v>213408.9744165349</v>
      </c>
      <c r="W88" s="19">
        <f>SUM(W72:W82,W66,W60,W54,W48,W42,W36)</f>
        <v>200378.9744165349</v>
      </c>
      <c r="X88" s="19">
        <f>SUM(X72:X82,X66,X60,X54,X48,X42,X36)</f>
        <v>214378.9744165349</v>
      </c>
      <c r="Y88" s="19">
        <f>SUM(Y72:Y82,Y66,Y60,Y54,Y48,Y42,Y36)</f>
        <v>200378.9744165349</v>
      </c>
      <c r="Z88" s="19">
        <f>SUMIF($B$13:$Y$13,"Yes",B88:Y88)</f>
        <v>3066632.500748287</v>
      </c>
      <c r="AA88" s="19">
        <f>SUM(B88:M88)</f>
        <v>2837780.769921496</v>
      </c>
      <c r="AB88" s="19">
        <f>SUM(B88:Y88)</f>
        <v>5500965.385996841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1500000</v>
      </c>
    </row>
    <row r="96" spans="1:30">
      <c r="A96" t="s">
        <v>62</v>
      </c>
      <c r="B96" s="36">
        <f>SUMPRODUCT(Inputs!C19:C21,Calculations!O14:O16)</f>
        <v>1225000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7875000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15350000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470000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790000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5</v>
      </c>
      <c r="N8" s="154">
        <v>0</v>
      </c>
    </row>
    <row r="9" spans="1:48">
      <c r="A9" s="143" t="s">
        <v>99</v>
      </c>
      <c r="B9" s="16"/>
      <c r="C9" s="143">
        <v>5</v>
      </c>
      <c r="D9" s="16"/>
      <c r="E9" s="147" t="s">
        <v>100</v>
      </c>
      <c r="F9" s="149" t="s">
        <v>101</v>
      </c>
      <c r="G9" s="147"/>
      <c r="H9" s="147" t="s">
        <v>92</v>
      </c>
      <c r="I9" s="147" t="s">
        <v>97</v>
      </c>
      <c r="J9" s="148" t="s">
        <v>94</v>
      </c>
      <c r="K9" s="138"/>
      <c r="L9" s="16"/>
      <c r="M9" s="165">
        <v>0</v>
      </c>
      <c r="N9" s="154">
        <v>0</v>
      </c>
    </row>
    <row r="10" spans="1:48">
      <c r="A10" s="143" t="s">
        <v>102</v>
      </c>
      <c r="B10" s="16"/>
      <c r="C10" s="143">
        <v>0</v>
      </c>
      <c r="D10" s="16"/>
      <c r="E10" s="147" t="s">
        <v>100</v>
      </c>
      <c r="F10" s="149" t="s">
        <v>101</v>
      </c>
      <c r="G10" s="147"/>
      <c r="H10" s="147" t="s">
        <v>92</v>
      </c>
      <c r="I10" s="147" t="s">
        <v>93</v>
      </c>
      <c r="J10" s="148" t="s">
        <v>103</v>
      </c>
      <c r="K10" s="138"/>
      <c r="L10" s="16"/>
      <c r="M10" s="165">
        <v>100</v>
      </c>
      <c r="N10" s="154">
        <v>0</v>
      </c>
    </row>
    <row r="11" spans="1:48">
      <c r="A11" s="144" t="s">
        <v>104</v>
      </c>
      <c r="B11" s="23"/>
      <c r="C11" s="144">
        <v>0</v>
      </c>
      <c r="D11" s="23"/>
      <c r="E11" s="150" t="s">
        <v>100</v>
      </c>
      <c r="F11" s="151" t="s">
        <v>101</v>
      </c>
      <c r="G11" s="150"/>
      <c r="H11" s="150" t="s">
        <v>92</v>
      </c>
      <c r="I11" s="150" t="s">
        <v>93</v>
      </c>
      <c r="J11" s="152" t="s">
        <v>103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106</v>
      </c>
      <c r="B18" s="10" t="s">
        <v>107</v>
      </c>
      <c r="C18" s="10" t="s">
        <v>108</v>
      </c>
      <c r="D18" s="10" t="s">
        <v>109</v>
      </c>
      <c r="E18" s="10" t="s">
        <v>110</v>
      </c>
      <c r="F18" s="10" t="s">
        <v>111</v>
      </c>
      <c r="G18" s="10" t="s">
        <v>112</v>
      </c>
      <c r="H18" s="10" t="s">
        <v>113</v>
      </c>
      <c r="I18" s="10" t="s">
        <v>114</v>
      </c>
      <c r="J18" s="10" t="s">
        <v>115</v>
      </c>
      <c r="K18" s="10" t="s">
        <v>116</v>
      </c>
      <c r="L18" s="10" t="s">
        <v>117</v>
      </c>
    </row>
    <row r="19" spans="1:48">
      <c r="A19" s="142" t="s">
        <v>118</v>
      </c>
      <c r="B19" s="20"/>
      <c r="C19" s="142">
        <v>5</v>
      </c>
      <c r="D19" s="145">
        <v>5</v>
      </c>
      <c r="E19" s="20"/>
      <c r="F19" s="145" t="s">
        <v>92</v>
      </c>
      <c r="G19" s="20"/>
      <c r="H19" s="20"/>
      <c r="I19" s="145" t="s">
        <v>119</v>
      </c>
      <c r="J19" s="145">
        <v>5</v>
      </c>
      <c r="K19" s="145"/>
      <c r="L19" s="25"/>
    </row>
    <row r="20" spans="1:48">
      <c r="A20" s="143" t="s">
        <v>120</v>
      </c>
      <c r="B20" s="16"/>
      <c r="C20" s="143">
        <v>500</v>
      </c>
      <c r="D20" s="147">
        <v>500</v>
      </c>
      <c r="E20" s="16"/>
      <c r="F20" s="147" t="s">
        <v>92</v>
      </c>
      <c r="G20" s="16"/>
      <c r="H20" s="16"/>
      <c r="I20" s="147" t="s">
        <v>121</v>
      </c>
      <c r="J20" s="147">
        <v>100</v>
      </c>
      <c r="K20" s="147">
        <v>10</v>
      </c>
      <c r="L20" s="30">
        <v>5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123</v>
      </c>
      <c r="B25" s="177">
        <v>50</v>
      </c>
    </row>
    <row r="27" spans="1:48">
      <c r="A27" s="14" t="s">
        <v>124</v>
      </c>
    </row>
    <row r="29" spans="1:48">
      <c r="A29" s="45" t="s">
        <v>125</v>
      </c>
      <c r="B29" s="156" t="s">
        <v>126</v>
      </c>
    </row>
    <row r="30" spans="1:48">
      <c r="A30" s="44" t="s">
        <v>127</v>
      </c>
      <c r="B30" s="157">
        <v>200000</v>
      </c>
    </row>
    <row r="31" spans="1:48">
      <c r="A31" s="5" t="s">
        <v>128</v>
      </c>
      <c r="B31" s="158">
        <v>20000</v>
      </c>
    </row>
    <row r="33" spans="1:48">
      <c r="A33" s="14" t="s">
        <v>129</v>
      </c>
    </row>
    <row r="34" spans="1:48">
      <c r="A34" s="10" t="s">
        <v>130</v>
      </c>
      <c r="B34" s="10" t="s">
        <v>131</v>
      </c>
      <c r="C34" s="10" t="s">
        <v>132</v>
      </c>
      <c r="D34" s="48" t="s">
        <v>133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135</v>
      </c>
      <c r="B40" s="160" t="s">
        <v>92</v>
      </c>
    </row>
    <row r="41" spans="1:48">
      <c r="A41" s="55" t="s">
        <v>136</v>
      </c>
      <c r="B41" s="140"/>
    </row>
    <row r="42" spans="1:48">
      <c r="A42" s="55" t="s">
        <v>137</v>
      </c>
      <c r="B42" s="139"/>
    </row>
    <row r="43" spans="1:48">
      <c r="A43" s="55" t="s">
        <v>138</v>
      </c>
      <c r="B43" s="160" t="s">
        <v>139</v>
      </c>
    </row>
    <row r="44" spans="1:48">
      <c r="A44" s="56" t="s">
        <v>140</v>
      </c>
      <c r="B44" s="160" t="s">
        <v>92</v>
      </c>
    </row>
    <row r="45" spans="1:48">
      <c r="A45" s="56" t="s">
        <v>141</v>
      </c>
      <c r="B45" s="161">
        <v>3000000</v>
      </c>
    </row>
    <row r="46" spans="1:48" customHeight="1" ht="30">
      <c r="A46" s="57" t="s">
        <v>142</v>
      </c>
      <c r="B46" s="161">
        <v>1000000</v>
      </c>
    </row>
    <row r="47" spans="1:48" customHeight="1" ht="30">
      <c r="A47" s="57" t="s">
        <v>143</v>
      </c>
      <c r="B47" s="161">
        <v>1500000</v>
      </c>
    </row>
    <row r="48" spans="1:48" customHeight="1" ht="30">
      <c r="A48" s="57" t="s">
        <v>144</v>
      </c>
      <c r="B48" s="161">
        <v>500000</v>
      </c>
    </row>
    <row r="49" spans="1:48" customHeight="1" ht="30">
      <c r="A49" s="57" t="s">
        <v>145</v>
      </c>
      <c r="B49" s="161">
        <v>250000</v>
      </c>
    </row>
    <row r="50" spans="1:48">
      <c r="A50" s="43"/>
      <c r="B50" s="36"/>
    </row>
    <row r="51" spans="1:48">
      <c r="A51" s="58" t="s">
        <v>146</v>
      </c>
      <c r="B51" s="161">
        <v>20000</v>
      </c>
    </row>
    <row r="52" spans="1:48">
      <c r="A52" s="43"/>
    </row>
    <row r="53" spans="1:48">
      <c r="A53" s="3" t="s">
        <v>147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148</v>
      </c>
      <c r="B55" s="10" t="s">
        <v>149</v>
      </c>
      <c r="C55" s="10" t="s">
        <v>150</v>
      </c>
      <c r="D55" s="10" t="s">
        <v>151</v>
      </c>
      <c r="E55" s="10" t="s">
        <v>152</v>
      </c>
      <c r="F55" s="10" t="s">
        <v>153</v>
      </c>
    </row>
    <row r="56" spans="1:48">
      <c r="A56" s="159">
        <v>500000</v>
      </c>
      <c r="B56" s="159">
        <v>0</v>
      </c>
      <c r="C56" s="162" t="s">
        <v>154</v>
      </c>
      <c r="D56" s="163" t="s">
        <v>155</v>
      </c>
      <c r="E56" s="163" t="s">
        <v>92</v>
      </c>
      <c r="F56" s="163" t="s">
        <v>156</v>
      </c>
    </row>
    <row r="57" spans="1:48">
      <c r="A57" s="157">
        <v>550000</v>
      </c>
      <c r="B57" s="157">
        <v>470000</v>
      </c>
      <c r="C57" s="164" t="s">
        <v>157</v>
      </c>
      <c r="D57" s="165" t="s">
        <v>158</v>
      </c>
      <c r="E57" s="165" t="s">
        <v>92</v>
      </c>
      <c r="F57" s="165" t="s">
        <v>159</v>
      </c>
    </row>
    <row r="58" spans="1:48">
      <c r="A58" s="157">
        <v>400000</v>
      </c>
      <c r="B58" s="157">
        <v>0</v>
      </c>
      <c r="C58" s="164" t="s">
        <v>160</v>
      </c>
      <c r="D58" s="165" t="s">
        <v>155</v>
      </c>
      <c r="E58" s="165" t="s">
        <v>92</v>
      </c>
      <c r="F58" s="165" t="s">
        <v>156</v>
      </c>
    </row>
    <row r="59" spans="1:48">
      <c r="A59" s="157">
        <v>500000</v>
      </c>
      <c r="B59" s="157">
        <v>0</v>
      </c>
      <c r="C59" s="164" t="s">
        <v>161</v>
      </c>
      <c r="D59" s="165" t="s">
        <v>162</v>
      </c>
      <c r="E59" s="165" t="s">
        <v>92</v>
      </c>
      <c r="F59" s="165" t="s">
        <v>163</v>
      </c>
    </row>
    <row r="60" spans="1:48">
      <c r="A60" s="158">
        <v>200000</v>
      </c>
      <c r="B60" s="158">
        <v>0</v>
      </c>
      <c r="C60" s="166" t="s">
        <v>164</v>
      </c>
      <c r="D60" s="167" t="s">
        <v>155</v>
      </c>
      <c r="E60" s="167" t="s">
        <v>92</v>
      </c>
      <c r="F60" s="167" t="s">
        <v>156</v>
      </c>
    </row>
    <row r="63" spans="1:48">
      <c r="A63" s="3" t="s">
        <v>165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133</v>
      </c>
      <c r="B65" s="10" t="s">
        <v>166</v>
      </c>
      <c r="C65" s="10" t="s">
        <v>167</v>
      </c>
    </row>
    <row r="66" spans="1:48">
      <c r="A66" s="142" t="s">
        <v>168</v>
      </c>
      <c r="B66" s="159">
        <v>472000</v>
      </c>
      <c r="C66" s="163">
        <v>410000</v>
      </c>
      <c r="D66" s="49">
        <f>INDEX(Parameters!$D$79:$D$90,MATCH(Inputs!A66,Parameters!$C$79:$C$90,0))</f>
        <v>9</v>
      </c>
    </row>
    <row r="67" spans="1:48">
      <c r="A67" s="143" t="s">
        <v>169</v>
      </c>
      <c r="B67" s="157">
        <v>628410</v>
      </c>
      <c r="C67" s="165">
        <v>582540</v>
      </c>
      <c r="D67" s="49">
        <f>INDEX(Parameters!$D$79:$D$90,MATCH(Inputs!A67,Parameters!$C$79:$C$90,0))</f>
        <v>8</v>
      </c>
    </row>
    <row r="68" spans="1:48">
      <c r="A68" s="143" t="s">
        <v>170</v>
      </c>
      <c r="B68" s="157">
        <v>1701457</v>
      </c>
      <c r="C68" s="165">
        <v>1551200</v>
      </c>
      <c r="D68" s="49">
        <f>INDEX(Parameters!$D$79:$D$90,MATCH(Inputs!A68,Parameters!$C$79:$C$90,0))</f>
        <v>7</v>
      </c>
    </row>
    <row r="69" spans="1:48">
      <c r="A69" s="143" t="s">
        <v>171</v>
      </c>
      <c r="B69" s="157">
        <v>750120</v>
      </c>
      <c r="C69" s="165">
        <v>660410</v>
      </c>
      <c r="D69" s="49">
        <f>INDEX(Parameters!$D$79:$D$90,MATCH(Inputs!A69,Parameters!$C$79:$C$90,0))</f>
        <v>6</v>
      </c>
    </row>
    <row r="70" spans="1:48">
      <c r="A70" s="143" t="s">
        <v>172</v>
      </c>
      <c r="B70" s="157">
        <v>1128000</v>
      </c>
      <c r="C70" s="165">
        <v>1034651</v>
      </c>
      <c r="D70" s="49">
        <f>INDEX(Parameters!$D$79:$D$90,MATCH(Inputs!A70,Parameters!$C$79:$C$90,0))</f>
        <v>5</v>
      </c>
    </row>
    <row r="71" spans="1:48">
      <c r="A71" s="144" t="s">
        <v>173</v>
      </c>
      <c r="B71" s="158">
        <v>750120</v>
      </c>
      <c r="C71" s="167">
        <v>680000</v>
      </c>
      <c r="D71" s="49">
        <f>INDEX(Parameters!$D$79:$D$90,MATCH(Inputs!A71,Parameters!$C$79:$C$90,0))</f>
        <v>4</v>
      </c>
    </row>
    <row r="73" spans="1:48">
      <c r="A73" s="3" t="s">
        <v>174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175</v>
      </c>
      <c r="B75" s="161">
        <v>13</v>
      </c>
    </row>
    <row r="76" spans="1:48">
      <c r="A76" t="s">
        <v>176</v>
      </c>
      <c r="B76" s="168" t="s">
        <v>177</v>
      </c>
    </row>
    <row r="78" spans="1:48" customHeight="1" ht="20.25">
      <c r="B78" s="127" t="s">
        <v>178</v>
      </c>
    </row>
    <row r="79" spans="1:48">
      <c r="A79" t="s">
        <v>179</v>
      </c>
      <c r="B79" s="168" t="s">
        <v>180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181</v>
      </c>
      <c r="B80" s="168" t="s">
        <v>182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183</v>
      </c>
      <c r="B81" s="161">
        <v>300000</v>
      </c>
    </row>
    <row r="82" spans="1:48">
      <c r="A82" t="s">
        <v>184</v>
      </c>
      <c r="B82" s="161">
        <v>20</v>
      </c>
    </row>
    <row r="83" spans="1:48">
      <c r="A83" t="s">
        <v>185</v>
      </c>
      <c r="B83" s="169" t="s">
        <v>186</v>
      </c>
    </row>
    <row r="84" spans="1:48">
      <c r="A84" t="s">
        <v>187</v>
      </c>
      <c r="B84" s="169">
        <v>1</v>
      </c>
    </row>
    <row r="85" spans="1:48">
      <c r="A85" t="s">
        <v>188</v>
      </c>
      <c r="B85" s="169">
        <v>12</v>
      </c>
    </row>
    <row r="86" spans="1:48">
      <c r="A86" t="s">
        <v>189</v>
      </c>
      <c r="B86" s="161"/>
    </row>
    <row r="87" spans="1:48">
      <c r="A87" t="s">
        <v>190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191</v>
      </c>
      <c r="C3" s="15" t="s">
        <v>192</v>
      </c>
      <c r="D3" s="15" t="s">
        <v>193</v>
      </c>
      <c r="E3" s="15" t="s">
        <v>194</v>
      </c>
      <c r="F3" s="15" t="s">
        <v>195</v>
      </c>
      <c r="G3" s="15" t="s">
        <v>196</v>
      </c>
      <c r="H3" s="15" t="s">
        <v>197</v>
      </c>
      <c r="I3" s="15" t="s">
        <v>198</v>
      </c>
      <c r="J3" s="15" t="s">
        <v>199</v>
      </c>
      <c r="K3" s="15" t="s">
        <v>200</v>
      </c>
      <c r="L3" s="15" t="s">
        <v>201</v>
      </c>
      <c r="M3" s="15" t="s">
        <v>202</v>
      </c>
      <c r="N3" s="15" t="s">
        <v>203</v>
      </c>
      <c r="O3" s="15" t="s">
        <v>204</v>
      </c>
      <c r="P3" s="15" t="s">
        <v>205</v>
      </c>
      <c r="Q3" s="32" t="s">
        <v>206</v>
      </c>
      <c r="R3" s="15" t="s">
        <v>207</v>
      </c>
      <c r="S3" s="15" t="s">
        <v>208</v>
      </c>
      <c r="T3" s="15" t="s">
        <v>209</v>
      </c>
      <c r="U3" s="178" t="s">
        <v>87</v>
      </c>
      <c r="V3" s="32" t="s">
        <v>210</v>
      </c>
      <c r="W3" s="32" t="s">
        <v>211</v>
      </c>
      <c r="X3" s="32" t="s">
        <v>212</v>
      </c>
      <c r="Y3" s="32" t="s">
        <v>213</v>
      </c>
      <c r="Z3" s="32" t="s">
        <v>43</v>
      </c>
      <c r="AA3" s="32" t="s">
        <v>214</v>
      </c>
      <c r="AB3" s="32" t="s">
        <v>215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Tomatoes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25280.76935493325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1681171.162103061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3750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22500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87500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43160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43344</v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7207.992377007091</v>
      </c>
      <c r="M5" s="30">
        <f>L5*H5</f>
        <v>36039.96188503545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958662.986141943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3030</v>
      </c>
      <c r="W5" s="34">
        <f>IFERROR(J5*H5*Parameters!$B$35+IF(OR(Inputs!F8=Parameters!$E$78,Inputs!F8=Parameters!$E$80),Calculations!H5*Parameters!$B$36,0),0)</f>
        <v>10000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14000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Coffee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5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462.4865153429052</v>
      </c>
      <c r="M6" s="30">
        <f>L6*H6</f>
        <v>2312.432576714526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44.8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103596.9794368108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10000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26250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62500</v>
      </c>
      <c r="AC6" s="22">
        <f>IF($A6=0,1/12,IFERROR(INDEX(Parameters!$X$2:$AI$17,MATCH(Calculations!$A6,Parameters!$A$2:$A$17,0),MONTH(Calculations!AC$3)),1/12))</f>
        <v>0.05128205128205128</v>
      </c>
      <c r="AD6" s="22">
        <f>IF($A6=0,1/12,IFERROR(INDEX(Parameters!$X$2:$AI$17,MATCH(Calculations!$A6,Parameters!$A$2:$A$17,0),MONTH(Calculations!AD$3)),1/12))</f>
        <v>0.1025641025641026</v>
      </c>
      <c r="AE6" s="22">
        <f>IF($A6=0,1/12,IFERROR(INDEX(Parameters!$X$2:$AI$17,MATCH(Calculations!$A6,Parameters!$A$2:$A$17,0),MONTH(Calculations!AE$3)),1/12))</f>
        <v>0.1282051282051282</v>
      </c>
      <c r="AF6" s="22">
        <f>IF($A6=0,1/12,IFERROR(INDEX(Parameters!$X$2:$AI$17,MATCH(Calculations!$A6,Parameters!$A$2:$A$17,0),MONTH(Calculations!AF$3)),1/12))</f>
        <v>0.1282051282051282</v>
      </c>
      <c r="AG6" s="22">
        <f>IF($A6=0,1/12,IFERROR(INDEX(Parameters!$X$2:$AI$17,MATCH(Calculations!$A6,Parameters!$A$2:$A$17,0),MONTH(Calculations!AG$3)),1/12))</f>
        <v>0.1282051282051282</v>
      </c>
      <c r="AH6" s="22">
        <f>IF($A6=0,1/12,IFERROR(INDEX(Parameters!$X$2:$AI$17,MATCH(Calculations!$A6,Parameters!$A$2:$A$17,0),MONTH(Calculations!AH$3)),1/12))</f>
        <v>0.1025641025641026</v>
      </c>
      <c r="AI6" s="22">
        <f>IF($A6=0,1/12,IFERROR(INDEX(Parameters!$X$2:$AI$17,MATCH(Calculations!$A6,Parameters!$A$2:$A$17,0),MONTH(Calculations!AI$3)),1/12))</f>
        <v>0.05128205128205128</v>
      </c>
      <c r="AJ6" s="22">
        <f>IF($A6=0,1/12,IFERROR(INDEX(Parameters!$X$2:$AI$17,MATCH(Calculations!$A6,Parameters!$A$2:$A$17,0),MONTH(Calculations!AJ$3)),1/12))</f>
        <v>0</v>
      </c>
      <c r="AK6" s="22">
        <f>IF($A6=0,1/12,IFERROR(INDEX(Parameters!$X$2:$AI$17,MATCH(Calculations!$A6,Parameters!$A$2:$A$17,0),MONTH(Calculations!AK$3)),1/12))</f>
        <v>0.1282051282051282</v>
      </c>
      <c r="AL6" s="22">
        <f>IF($A6=0,1/12,IFERROR(INDEX(Parameters!$X$2:$AI$17,MATCH(Calculations!$A6,Parameters!$A$2:$A$17,0),MONTH(Calculations!AL$3)),1/12))</f>
        <v>0.1282051282051282</v>
      </c>
      <c r="AM6" s="22">
        <f>IF($A6=0,1/12,IFERROR(INDEX(Parameters!$X$2:$AI$17,MATCH(Calculations!$A6,Parameters!$A$2:$A$17,0),MONTH(Calculations!AM$3)),1/12))</f>
        <v>0.05128205128205128</v>
      </c>
      <c r="AN6" s="22">
        <f>IF($A6=0,1/12,IFERROR(INDEX(Parameters!$X$2:$AI$17,MATCH(Calculations!$A6,Parameters!$A$2:$A$17,0),MONTH(Calculations!AN$3)),1/12))</f>
        <v>0</v>
      </c>
      <c r="AO6" s="22">
        <f>IF($A6=0,1/12,IFERROR(INDEX(Parameters!$X$2:$AI$17,MATCH(Calculations!$A6,Parameters!$A$2:$A$17,0),MONTH(Calculations!AO$3)),1/12))</f>
        <v>0.05128205128205128</v>
      </c>
      <c r="AP6" s="22">
        <f>IF($A6=0,1/12,IFERROR(INDEX(Parameters!$X$2:$AI$17,MATCH(Calculations!$A6,Parameters!$A$2:$A$17,0),MONTH(Calculations!AP$3)),1/12))</f>
        <v>0.1025641025641026</v>
      </c>
      <c r="AQ6" s="22">
        <f>IF($A6=0,1/12,IFERROR(INDEX(Parameters!$X$2:$AI$17,MATCH(Calculations!$A6,Parameters!$A$2:$A$17,0),MONTH(Calculations!AQ$3)),1/12))</f>
        <v>0.1282051282051282</v>
      </c>
      <c r="AR6" s="22">
        <f>IF($A6=0,1/12,IFERROR(INDEX(Parameters!$X$2:$AI$17,MATCH(Calculations!$A6,Parameters!$A$2:$A$17,0),MONTH(Calculations!AR$3)),1/12))</f>
        <v>0.1282051282051282</v>
      </c>
      <c r="AS6" s="22">
        <f>IF($A6=0,1/12,IFERROR(INDEX(Parameters!$X$2:$AI$17,MATCH(Calculations!$A6,Parameters!$A$2:$A$17,0),MONTH(Calculations!AS$3)),1/12))</f>
        <v>0.1282051282051282</v>
      </c>
      <c r="AT6" s="22">
        <f>IF($A6=0,1/12,IFERROR(INDEX(Parameters!$X$2:$AI$17,MATCH(Calculations!$A6,Parameters!$A$2:$A$17,0),MONTH(Calculations!AT$3)),1/12))</f>
        <v>0.1025641025641026</v>
      </c>
      <c r="AU6" s="22">
        <f>IF($A6=0,1/12,IFERROR(INDEX(Parameters!$X$2:$AI$17,MATCH(Calculations!$A6,Parameters!$A$2:$A$17,0),MONTH(Calculations!AU$3)),1/12))</f>
        <v>0.05128205128205128</v>
      </c>
      <c r="AV6" s="22">
        <f>IF($A6=0,1/12,IFERROR(INDEX(Parameters!$X$2:$AI$17,MATCH(Calculations!$A6,Parameters!$A$2:$A$17,0),MONTH(Calculations!AV$3)),1/12))</f>
        <v>0</v>
      </c>
      <c r="AW6" s="22">
        <f>IF($A6=0,1/12,IFERROR(INDEX(Parameters!$X$2:$AI$17,MATCH(Calculations!$A6,Parameters!$A$2:$A$17,0),MONTH(Calculations!AW$3)),1/12))</f>
        <v>0.1282051282051282</v>
      </c>
      <c r="AX6" s="22">
        <f>IF($A6=0,1/12,IFERROR(INDEX(Parameters!$X$2:$AI$17,MATCH(Calculations!$A6,Parameters!$A$2:$A$17,0),MONTH(Calculations!AX$3)),1/12))</f>
        <v>0.1282051282051282</v>
      </c>
      <c r="AY6" s="22">
        <f>IF($A6=0,1/12,IFERROR(INDEX(Parameters!$X$2:$AI$17,MATCH(Calculations!$A6,Parameters!$A$2:$A$17,0),MONTH(Calculations!AY$3)),1/12))</f>
        <v>0.05128205128205128</v>
      </c>
      <c r="AZ6" s="22">
        <f>IF($A6=0,1/12,IFERROR(INDEX(Parameters!$X$2:$AI$17,MATCH(Calculations!$A6,Parameters!$A$2:$A$17,0),MONTH(Calculations!AZ$3)),1/12))</f>
        <v>0</v>
      </c>
    </row>
    <row r="7" spans="1:52" s="21" customFormat="1">
      <c r="A7" s="16" t="str">
        <f>Inputs!A10</f>
        <v>Potatoes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>
        <f>IFERROR(INDEX(Parameters!$A$3:$V$17,MATCH(Calculations!$A7,Parameters!$A$3:$A$17,0),MATCH(Parameters!$I$3,Parameters!$A$3:$V$3,0)),0)</f>
        <v>200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11779.00736663994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11.2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4</v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106</v>
      </c>
      <c r="B13" s="15" t="s">
        <v>35</v>
      </c>
      <c r="C13" s="15" t="s">
        <v>216</v>
      </c>
      <c r="D13" s="15" t="s">
        <v>217</v>
      </c>
      <c r="E13" s="15" t="s">
        <v>218</v>
      </c>
      <c r="F13" s="15" t="s">
        <v>219</v>
      </c>
      <c r="G13" s="15" t="s">
        <v>220</v>
      </c>
      <c r="H13" s="15" t="s">
        <v>221</v>
      </c>
      <c r="I13" s="15" t="s">
        <v>222</v>
      </c>
      <c r="J13" s="15" t="s">
        <v>223</v>
      </c>
      <c r="K13" s="15" t="s">
        <v>224</v>
      </c>
      <c r="L13" s="15" t="s">
        <v>225</v>
      </c>
      <c r="M13" s="178" t="s">
        <v>226</v>
      </c>
      <c r="N13" s="178" t="s">
        <v>227</v>
      </c>
      <c r="O13" s="62" t="s">
        <v>228</v>
      </c>
      <c r="P13" s="62" t="s">
        <v>229</v>
      </c>
      <c r="Q13" s="62" t="s">
        <v>230</v>
      </c>
      <c r="R13" s="62" t="s">
        <v>231</v>
      </c>
      <c r="S13" s="62" t="s">
        <v>232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1300312.5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500</v>
      </c>
      <c r="E15" s="16">
        <f>Inputs!D20</f>
        <v>500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1</v>
      </c>
      <c r="N15" s="130">
        <f>Inputs!K20/100</f>
        <v>0.1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91250</v>
      </c>
      <c r="R15" s="64">
        <f>IFERROR(D15*INDEX(Parameters!$A$22:$P$29,MATCH(Calculations!$A15,Parameters!$A$22:$A$29,0),MATCH(Parameters!$M$22,Parameters!$A$22:$P$22,0)),"")</f>
        <v>4266.666666666667</v>
      </c>
      <c r="S15" s="64">
        <f>IFERROR(D15*INDEX(Parameters!$A$22:$P$29,MATCH(Calculations!$A15,Parameters!$A$22:$A$29,0),MATCH(Parameters!$N$22,Parameters!$A$22:$P$22,0)),"")</f>
        <v>34304.51127819548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81250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148</v>
      </c>
      <c r="B22" s="74" t="s">
        <v>233</v>
      </c>
      <c r="C22" s="74" t="s">
        <v>234</v>
      </c>
      <c r="D22" s="74" t="s">
        <v>235</v>
      </c>
      <c r="E22" s="74" t="s">
        <v>236</v>
      </c>
    </row>
    <row r="23" spans="1:52">
      <c r="A23" s="75">
        <f>Inputs!A56</f>
        <v>500000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550000</v>
      </c>
      <c r="B24" s="46">
        <f>SUM(C24:D24)</f>
        <v>33160.25641025641</v>
      </c>
      <c r="C24" s="46">
        <f>IF(Inputs!B57&gt;0,(Inputs!A57-Inputs!B57)/(DATE(YEAR(Inputs!$B$76),MONTH(Inputs!$B$76),DAY(Inputs!$B$76))-DATE(YEAR(Inputs!C57),MONTH(Inputs!C57),DAY(Inputs!C57)))*30,0)</f>
        <v>23076.92307692308</v>
      </c>
      <c r="D24" s="46">
        <f>IF(Inputs!B57&gt;0,Inputs!A57*0.22/12,0)</f>
        <v>10083.33333333333</v>
      </c>
      <c r="E24" s="46">
        <f>IFERROR(ROUNDUP(Inputs!B57/B24,0),0)</f>
        <v>15</v>
      </c>
      <c r="H24" s="1"/>
    </row>
    <row r="25" spans="1:52">
      <c r="A25" s="46">
        <f>Inputs!A58</f>
        <v>400000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500000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200000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238</v>
      </c>
      <c r="B32" s="129" t="s">
        <v>239</v>
      </c>
      <c r="C32" s="129" t="s">
        <v>240</v>
      </c>
      <c r="D32" s="129" t="s">
        <v>241</v>
      </c>
      <c r="F32" s="132" t="s">
        <v>242</v>
      </c>
      <c r="G32" s="132" t="s">
        <v>243</v>
      </c>
      <c r="I32" s="174" t="s">
        <v>244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43043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43040</v>
      </c>
      <c r="F33" t="s">
        <v>179</v>
      </c>
      <c r="G33" s="128">
        <f>IF(Inputs!B79="","",DATE(YEAR(Inputs!B79),MONTH(Inputs!B79),DAY(Inputs!B79)))</f>
        <v>43034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43073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43070</v>
      </c>
      <c r="F34" t="s">
        <v>181</v>
      </c>
      <c r="G34" s="128">
        <f>IF(Inputs!B80="","",DATE(YEAR(Inputs!B80),MONTH(Inputs!B80),DAY(Inputs!B80)))</f>
        <v>43043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43104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43101</v>
      </c>
      <c r="F35" t="s">
        <v>183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43135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43132</v>
      </c>
      <c r="F36" t="s">
        <v>184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43163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43160</v>
      </c>
      <c r="F37" t="s">
        <v>245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43194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43191</v>
      </c>
      <c r="F38" t="s">
        <v>246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43224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43221</v>
      </c>
      <c r="F39" t="s">
        <v>189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43255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43252</v>
      </c>
      <c r="F40" t="s">
        <v>190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43285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43282</v>
      </c>
      <c r="F41" t="s">
        <v>247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43316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43313</v>
      </c>
      <c r="F42" t="s">
        <v>248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43347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43377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249</v>
      </c>
      <c r="C3" s="10" t="s">
        <v>250</v>
      </c>
      <c r="D3" s="10" t="s">
        <v>251</v>
      </c>
      <c r="E3" s="10" t="s">
        <v>252</v>
      </c>
      <c r="F3" s="10" t="s">
        <v>253</v>
      </c>
      <c r="G3" s="10" t="s">
        <v>254</v>
      </c>
      <c r="H3" s="10" t="s">
        <v>255</v>
      </c>
      <c r="I3" s="10" t="s">
        <v>256</v>
      </c>
      <c r="J3" s="10" t="s">
        <v>257</v>
      </c>
      <c r="K3" s="10" t="s">
        <v>258</v>
      </c>
      <c r="L3" s="10" t="s">
        <v>259</v>
      </c>
      <c r="M3" s="10" t="s">
        <v>260</v>
      </c>
      <c r="N3" s="10" t="s">
        <v>261</v>
      </c>
      <c r="O3" s="10" t="s">
        <v>262</v>
      </c>
      <c r="P3" s="10" t="s">
        <v>263</v>
      </c>
      <c r="Q3" s="10" t="s">
        <v>264</v>
      </c>
      <c r="R3" s="10" t="s">
        <v>265</v>
      </c>
      <c r="S3" s="10" t="s">
        <v>266</v>
      </c>
      <c r="T3" s="10" t="s">
        <v>267</v>
      </c>
      <c r="U3" s="10" t="s">
        <v>207</v>
      </c>
      <c r="V3" s="10" t="s">
        <v>205</v>
      </c>
      <c r="W3" s="10" t="s">
        <v>268</v>
      </c>
      <c r="X3" s="10" t="s">
        <v>269</v>
      </c>
      <c r="Y3" s="10" t="s">
        <v>270</v>
      </c>
      <c r="Z3" s="10" t="s">
        <v>271</v>
      </c>
      <c r="AA3" s="10" t="s">
        <v>272</v>
      </c>
      <c r="AB3" s="10" t="s">
        <v>273</v>
      </c>
      <c r="AC3" s="10" t="s">
        <v>274</v>
      </c>
      <c r="AD3" s="10" t="s">
        <v>275</v>
      </c>
      <c r="AE3" s="10" t="s">
        <v>276</v>
      </c>
      <c r="AF3" s="10" t="s">
        <v>277</v>
      </c>
      <c r="AG3" s="10" t="s">
        <v>278</v>
      </c>
      <c r="AH3" s="10" t="s">
        <v>279</v>
      </c>
      <c r="AI3" s="10" t="s">
        <v>280</v>
      </c>
    </row>
    <row r="4" spans="1:36" s="93" customFormat="1">
      <c r="A4" s="93" t="s">
        <v>281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282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283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284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285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285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285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283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283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285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290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283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283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291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285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102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285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292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293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283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283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285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285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106</v>
      </c>
      <c r="B22" s="8" t="s">
        <v>295</v>
      </c>
      <c r="C22" s="10" t="s">
        <v>296</v>
      </c>
      <c r="D22" s="10" t="s">
        <v>297</v>
      </c>
      <c r="E22" s="10" t="s">
        <v>298</v>
      </c>
      <c r="F22" s="10" t="s">
        <v>299</v>
      </c>
      <c r="G22" s="10" t="s">
        <v>300</v>
      </c>
      <c r="H22" s="10" t="s">
        <v>301</v>
      </c>
      <c r="I22" s="10" t="s">
        <v>221</v>
      </c>
      <c r="J22" s="10" t="s">
        <v>302</v>
      </c>
      <c r="K22" s="10" t="s">
        <v>303</v>
      </c>
      <c r="L22" s="10" t="s">
        <v>304</v>
      </c>
      <c r="M22" s="10" t="s">
        <v>305</v>
      </c>
      <c r="N22" s="10" t="s">
        <v>306</v>
      </c>
      <c r="O22" s="10" t="s">
        <v>307</v>
      </c>
      <c r="P22" s="10" t="s">
        <v>308</v>
      </c>
    </row>
    <row r="23" spans="1:36" s="21" customFormat="1">
      <c r="A23" s="21" t="s">
        <v>120</v>
      </c>
      <c r="B23" s="21" t="s">
        <v>309</v>
      </c>
      <c r="C23" s="72" t="s">
        <v>310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311</v>
      </c>
      <c r="B24" s="21" t="s">
        <v>312</v>
      </c>
      <c r="C24" s="116" t="s">
        <v>283</v>
      </c>
      <c r="D24" s="115" t="s">
        <v>283</v>
      </c>
      <c r="E24" s="106">
        <v>0.05</v>
      </c>
      <c r="F24" s="106">
        <v>0.1</v>
      </c>
      <c r="G24" s="106">
        <v>0.2</v>
      </c>
      <c r="H24" s="116" t="s">
        <v>283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118</v>
      </c>
      <c r="B25" s="16" t="s">
        <v>313</v>
      </c>
      <c r="C25" s="30" t="s">
        <v>314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283</v>
      </c>
      <c r="J25" s="72" t="s">
        <v>283</v>
      </c>
      <c r="K25" s="72" t="s">
        <v>283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315</v>
      </c>
      <c r="B26" s="16" t="s">
        <v>312</v>
      </c>
      <c r="C26" s="116" t="s">
        <v>283</v>
      </c>
      <c r="D26" s="115" t="s">
        <v>283</v>
      </c>
      <c r="E26" s="106">
        <v>0.2</v>
      </c>
      <c r="F26" s="106">
        <v>0.7</v>
      </c>
      <c r="G26" s="106">
        <v>2</v>
      </c>
      <c r="H26" s="116" t="s">
        <v>283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316</v>
      </c>
      <c r="B27" s="71" t="s">
        <v>312</v>
      </c>
      <c r="C27" s="116" t="s">
        <v>283</v>
      </c>
      <c r="D27" s="115" t="s">
        <v>283</v>
      </c>
      <c r="E27" s="106">
        <v>0.15</v>
      </c>
      <c r="F27" s="106">
        <v>0.25</v>
      </c>
      <c r="G27" s="106">
        <v>1</v>
      </c>
      <c r="H27" s="116" t="s">
        <v>283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317</v>
      </c>
      <c r="B28" s="71" t="s">
        <v>312</v>
      </c>
      <c r="C28" s="116" t="s">
        <v>283</v>
      </c>
      <c r="D28" s="115" t="s">
        <v>283</v>
      </c>
      <c r="E28" s="106">
        <v>0.15</v>
      </c>
      <c r="F28" s="106">
        <v>0.25</v>
      </c>
      <c r="G28" s="106">
        <v>1</v>
      </c>
      <c r="H28" s="116" t="s">
        <v>283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318</v>
      </c>
      <c r="B29" s="118" t="s">
        <v>312</v>
      </c>
      <c r="C29" s="31" t="s">
        <v>283</v>
      </c>
      <c r="D29" s="31" t="s">
        <v>283</v>
      </c>
      <c r="E29" s="24">
        <v>0.1</v>
      </c>
      <c r="F29" s="24">
        <v>0.2</v>
      </c>
      <c r="G29" s="24">
        <v>0</v>
      </c>
      <c r="H29" s="31" t="s">
        <v>283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319</v>
      </c>
      <c r="B30" s="70" t="s">
        <v>312</v>
      </c>
    </row>
    <row r="31" spans="1:36">
      <c r="H31" s="86"/>
      <c r="I31" s="86"/>
      <c r="AI31" s="12"/>
    </row>
    <row r="32" spans="1:36">
      <c r="A32" s="3" t="s">
        <v>320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321</v>
      </c>
      <c r="B34" s="11" t="s">
        <v>322</v>
      </c>
    </row>
    <row r="35" spans="1:36">
      <c r="A35" t="s">
        <v>323</v>
      </c>
      <c r="B35" s="72">
        <v>60</v>
      </c>
      <c r="C35" s="86"/>
    </row>
    <row r="36" spans="1:36">
      <c r="A36" t="s">
        <v>324</v>
      </c>
      <c r="B36" s="72">
        <v>2000</v>
      </c>
      <c r="C36" s="86"/>
    </row>
    <row r="37" spans="1:36">
      <c r="A37" t="s">
        <v>325</v>
      </c>
      <c r="B37" s="2">
        <v>0.4</v>
      </c>
    </row>
    <row r="39" spans="1:36">
      <c r="A39" s="3" t="s">
        <v>326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327</v>
      </c>
      <c r="C40" s="193"/>
    </row>
    <row r="41" spans="1:36">
      <c r="A41" s="5" t="s">
        <v>106</v>
      </c>
      <c r="B41" s="191" t="s">
        <v>97</v>
      </c>
      <c r="C41" s="191" t="s">
        <v>92</v>
      </c>
    </row>
    <row r="42" spans="1:36">
      <c r="A42" t="s">
        <v>120</v>
      </c>
      <c r="B42" s="72">
        <v>450</v>
      </c>
      <c r="C42" s="72">
        <v>450</v>
      </c>
    </row>
    <row r="43" spans="1:36">
      <c r="A43" t="s">
        <v>311</v>
      </c>
      <c r="B43" s="72">
        <v>450</v>
      </c>
      <c r="C43" s="72">
        <v>250</v>
      </c>
    </row>
    <row r="44" spans="1:36">
      <c r="A44" t="s">
        <v>118</v>
      </c>
      <c r="B44" s="72">
        <v>50000</v>
      </c>
      <c r="C44" s="72">
        <v>200000</v>
      </c>
    </row>
    <row r="45" spans="1:36">
      <c r="A45" t="s">
        <v>315</v>
      </c>
      <c r="B45" s="72">
        <v>25000</v>
      </c>
      <c r="C45" s="72">
        <v>50000</v>
      </c>
    </row>
    <row r="46" spans="1:36">
      <c r="A46" t="s">
        <v>316</v>
      </c>
      <c r="B46" s="72">
        <v>6000</v>
      </c>
      <c r="C46" s="72">
        <v>12000</v>
      </c>
    </row>
    <row r="47" spans="1:36">
      <c r="A47" t="s">
        <v>317</v>
      </c>
      <c r="B47" s="72">
        <v>4500</v>
      </c>
      <c r="C47" s="72">
        <v>12000</v>
      </c>
    </row>
    <row r="48" spans="1:36">
      <c r="A48" t="s">
        <v>318</v>
      </c>
      <c r="B48" s="72">
        <v>20000</v>
      </c>
      <c r="C48" s="72">
        <v>20000</v>
      </c>
      <c r="D48" s="72"/>
    </row>
    <row r="50" spans="1:36">
      <c r="A50" s="3" t="s">
        <v>328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289</v>
      </c>
      <c r="E52" s="12" t="s">
        <v>289</v>
      </c>
      <c r="F52" s="12" t="s">
        <v>289</v>
      </c>
      <c r="G52" s="12" t="s">
        <v>329</v>
      </c>
      <c r="H52" s="12" t="s">
        <v>139</v>
      </c>
      <c r="I52" s="12" t="s">
        <v>330</v>
      </c>
      <c r="AJ52" s="12"/>
    </row>
    <row r="53" spans="1:36" customHeight="1" ht="30">
      <c r="A53" s="11" t="s">
        <v>331</v>
      </c>
      <c r="B53" s="11" t="s">
        <v>332</v>
      </c>
      <c r="C53" s="11" t="s">
        <v>333</v>
      </c>
      <c r="D53" s="10" t="s">
        <v>249</v>
      </c>
      <c r="E53" s="10" t="s">
        <v>208</v>
      </c>
      <c r="F53" s="10" t="s">
        <v>268</v>
      </c>
      <c r="G53" s="10" t="s">
        <v>334</v>
      </c>
      <c r="H53" s="10" t="s">
        <v>335</v>
      </c>
      <c r="I53" s="10" t="s">
        <v>335</v>
      </c>
      <c r="AJ53" s="12"/>
    </row>
    <row r="54" spans="1:36">
      <c r="A54">
        <v>8</v>
      </c>
      <c r="B54" s="12" t="s">
        <v>336</v>
      </c>
      <c r="C54" s="12" t="s">
        <v>337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338</v>
      </c>
      <c r="C55" s="12" t="s">
        <v>337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339</v>
      </c>
      <c r="C56" s="116" t="s">
        <v>340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341</v>
      </c>
      <c r="C57" s="116" t="s">
        <v>337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342</v>
      </c>
      <c r="C58" s="116" t="s">
        <v>337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343</v>
      </c>
      <c r="C59" s="116" t="s">
        <v>340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344</v>
      </c>
      <c r="C60" s="116" t="s">
        <v>340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345</v>
      </c>
      <c r="C61" s="116" t="s">
        <v>340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346</v>
      </c>
      <c r="C62" s="116" t="s">
        <v>340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347</v>
      </c>
      <c r="C63" s="116" t="s">
        <v>340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348</v>
      </c>
      <c r="C64" s="116" t="s">
        <v>340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349</v>
      </c>
      <c r="C65" s="12" t="s">
        <v>340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350</v>
      </c>
      <c r="C66" s="12" t="s">
        <v>340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351</v>
      </c>
      <c r="C67" s="12" t="s">
        <v>340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352</v>
      </c>
      <c r="C68" s="12" t="s">
        <v>340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353</v>
      </c>
      <c r="C69" s="12" t="s">
        <v>340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354</v>
      </c>
      <c r="C70" s="12" t="s">
        <v>340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355</v>
      </c>
      <c r="C71" s="12" t="s">
        <v>337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357</v>
      </c>
      <c r="B76" s="11" t="s">
        <v>358</v>
      </c>
      <c r="C76" s="11" t="s">
        <v>186</v>
      </c>
      <c r="D76" s="11" t="s">
        <v>359</v>
      </c>
      <c r="E76" s="11" t="s">
        <v>80</v>
      </c>
      <c r="F76" s="11" t="s">
        <v>360</v>
      </c>
      <c r="G76" s="11" t="s">
        <v>361</v>
      </c>
      <c r="H76" s="11" t="s">
        <v>362</v>
      </c>
      <c r="I76" s="11" t="s">
        <v>245</v>
      </c>
      <c r="J76" s="11" t="s">
        <v>363</v>
      </c>
      <c r="K76" s="11" t="s">
        <v>198</v>
      </c>
      <c r="AJ76" s="12"/>
    </row>
    <row r="77" spans="1:36">
      <c r="A77" t="s">
        <v>92</v>
      </c>
      <c r="B77" s="176">
        <v>0</v>
      </c>
      <c r="C77" s="12" t="s">
        <v>364</v>
      </c>
      <c r="E77" s="12" t="s">
        <v>97</v>
      </c>
      <c r="F77" s="12" t="s">
        <v>97</v>
      </c>
      <c r="G77" s="12" t="s">
        <v>365</v>
      </c>
      <c r="H77" s="12" t="s">
        <v>139</v>
      </c>
      <c r="I77" s="12" t="s">
        <v>366</v>
      </c>
      <c r="J77" s="136" t="s">
        <v>96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367</v>
      </c>
      <c r="D78" s="133"/>
      <c r="E78" s="12" t="s">
        <v>91</v>
      </c>
      <c r="F78" s="12" t="s">
        <v>368</v>
      </c>
      <c r="G78" s="12" t="s">
        <v>121</v>
      </c>
      <c r="H78" s="12" t="s">
        <v>330</v>
      </c>
      <c r="I78" s="12" t="s">
        <v>369</v>
      </c>
      <c r="J78" s="70" t="s">
        <v>370</v>
      </c>
      <c r="K78" s="12" t="s">
        <v>97</v>
      </c>
      <c r="AJ78" s="12"/>
    </row>
    <row r="79" spans="1:36">
      <c r="B79" s="176">
        <v>10</v>
      </c>
      <c r="C79" s="12" t="s">
        <v>371</v>
      </c>
      <c r="D79" s="12">
        <v>1</v>
      </c>
      <c r="E79" s="12" t="s">
        <v>372</v>
      </c>
      <c r="F79" s="12" t="s">
        <v>373</v>
      </c>
      <c r="G79" s="12" t="s">
        <v>119</v>
      </c>
      <c r="I79" s="12" t="s">
        <v>186</v>
      </c>
      <c r="J79" s="70" t="s">
        <v>374</v>
      </c>
      <c r="K79" s="12" t="s">
        <v>97</v>
      </c>
      <c r="AJ79" s="12"/>
    </row>
    <row r="80" spans="1:36">
      <c r="B80" s="176">
        <v>20</v>
      </c>
      <c r="C80" s="12" t="s">
        <v>375</v>
      </c>
      <c r="D80" s="12">
        <f>D79+1</f>
        <v>2</v>
      </c>
      <c r="E80" s="12" t="s">
        <v>101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376</v>
      </c>
      <c r="D81" s="12">
        <f>D80+1</f>
        <v>3</v>
      </c>
      <c r="J81" s="70" t="s">
        <v>100</v>
      </c>
      <c r="K81" s="12" t="s">
        <v>92</v>
      </c>
    </row>
    <row r="82" spans="1:36">
      <c r="B82" s="176">
        <v>40</v>
      </c>
      <c r="C82" s="12" t="s">
        <v>173</v>
      </c>
      <c r="D82" s="12">
        <f>D81+1</f>
        <v>4</v>
      </c>
      <c r="J82" s="70"/>
    </row>
    <row r="83" spans="1:36">
      <c r="B83" s="176">
        <v>50</v>
      </c>
      <c r="C83" s="12" t="s">
        <v>172</v>
      </c>
      <c r="D83" s="12">
        <f>D82+1</f>
        <v>5</v>
      </c>
    </row>
    <row r="84" spans="1:36">
      <c r="B84" s="176">
        <v>60</v>
      </c>
      <c r="C84" s="12" t="s">
        <v>171</v>
      </c>
      <c r="D84" s="12">
        <f>D83+1</f>
        <v>6</v>
      </c>
    </row>
    <row r="85" spans="1:36">
      <c r="B85" s="176">
        <v>70</v>
      </c>
      <c r="C85" s="12" t="s">
        <v>170</v>
      </c>
      <c r="D85" s="12">
        <f>D84+1</f>
        <v>7</v>
      </c>
    </row>
    <row r="86" spans="1:36">
      <c r="B86" s="176">
        <v>80</v>
      </c>
      <c r="C86" s="12" t="s">
        <v>169</v>
      </c>
      <c r="D86" s="12">
        <f>D85+1</f>
        <v>8</v>
      </c>
    </row>
    <row r="87" spans="1:36">
      <c r="B87" s="176">
        <v>89.99999999999999</v>
      </c>
      <c r="C87" s="12" t="s">
        <v>168</v>
      </c>
      <c r="D87" s="12">
        <f>D86+1</f>
        <v>9</v>
      </c>
    </row>
    <row r="88" spans="1:36">
      <c r="B88" s="176">
        <v>99.99999999999999</v>
      </c>
      <c r="C88" s="12" t="s">
        <v>377</v>
      </c>
      <c r="D88" s="12">
        <f>D87+1</f>
        <v>10</v>
      </c>
    </row>
    <row r="89" spans="1:36">
      <c r="C89" s="12" t="s">
        <v>378</v>
      </c>
      <c r="D89" s="12">
        <f>D88+1</f>
        <v>11</v>
      </c>
    </row>
    <row r="90" spans="1:36">
      <c r="C90" s="12" t="s">
        <v>98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