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<sst xmlns="http://schemas.openxmlformats.org/spreadsheetml/2006/main" uniqueCount="366">
  <si>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</si>
  <si>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</si>
  <si>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</si>
  <si>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</si>
  <si>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</si>
  <si>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</si>
  <si>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</si>
  <si>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</si>
  <si>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</si>
  <si>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</si>
  <si>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</si>
  <si>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</si>
  <si>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</si>
  <si>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</si>
  <si>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</si>
  <si>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</si>
  <si>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</si>
  <si>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</si>
  <si>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</si>
  <si>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</si>
  <si>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</si>
  <si>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</si>
  <si>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</si>
  <si>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</si>
  <si>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</si>
  <si>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</si>
  <si>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</si>
  <si>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</si>
  <si>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</si>
  <si>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</si>
  <si>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</si>
  <si>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</si>
  <si>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</si>
  <si>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</si>
  <si>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</si>
  <si>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</si>
  <si>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</si>
  <si>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</si>
  <si>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</si>
  <si>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</si>
  <si>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</si>
  <si>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</si>
  <si>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</si>
  <si>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</si>
  <si>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</si>
  <si>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</si>
  <si>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</si>
  <si>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</si>
  <si>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</si>
  <si>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</si>
  <si>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</si>
  <si>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</si>
  <si>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</si>
  <si>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</si>
  <si>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</si>
  <si>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</si>
  <si>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</si>
  <si>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</si>
  <si>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</si>
  <si>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</si>
  <si>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</si>
  <si>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</si>
  <si>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</si>
  <si>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</si>
  <si>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</si>
  <si>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</si>
  <si>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</si>
  <si>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</si>
  <si>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</si>
  <si>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</si>
  <si>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</si>
  <si>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</si>
  <si>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</si>
  <si>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</si>
  <si>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</si>
  <si>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</si>
  <si>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</si>
  <si>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</si>
  <si>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</si>
  <si>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</si>
  <si>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</si>
  <si>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</si>
  <si>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</si>
  <si>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</si>
  <si>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</si>
  <si>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</si>
  <si>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</si>
  <si>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</si>
  <si>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</si>
  <si>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</si>
  <si>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</si>
  <si>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</si>
  <si>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</si>
  <si>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</si>
  <si>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February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</si>
  <si>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</si>
  <si>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</si>
  <si>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</si>
  <si>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</si>
  <si>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</si>
  <si>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</si>
  <si>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</si>
  <si>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</si>
  <si>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</si>
  <si>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</si>
  <si>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</si>
  <si>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</si>
  <si>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</si>
  <si>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</si>
  <si>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</si>
  <si>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</si>
  <si>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</si>
  <si>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</si>
  <si>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</si>
  <si>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</si>
  <si>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</si>
  <si>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</si>
  <si>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</si>
  <si>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</si>
  <si>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</si>
  <si>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</si>
  <si>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</si>
  <si>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</si>
  <si>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</si>
  <si>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</si>
  <si>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</si>
  <si>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</si>
  <si>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</si>
  <si>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</si>
  <si>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</si>
  <si>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</si>
  <si>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</si>
  <si>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</si>
  <si>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</si>
  <si>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</si>
  <si>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</si>
  <si>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</si>
  <si>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</si>
  <si>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</si>
  <si>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</si>
  <si>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</si>
  <si>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</si>
  <si>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</si>
  <si>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</si>
  <si>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</si>
  <si>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</si>
  <si>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</si>
  <si>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</si>
  <si>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</si>
  <si>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</si>
  <si>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</si>
  <si>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2017/10/19</t>
  </si>
  <si>
    <t>Loan terms</t>
  </si>
  <si>
    <t>Expected disbursement date</t>
  </si>
  <si>
    <t>Expected first repayment date</t>
  </si>
  <si>
    <t>2017/11/19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</si>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</sst>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January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rental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0.1550264391991013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0.01470093682440548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2063357.157272096</v>
      </c>
    </row>
    <row r="18" spans="1:7">
      <c r="B18" s="1" t="s">
        <v>12</v>
      </c>
      <c r="C18" s="36">
        <f>MIN(Output!B6:M6)</f>
        <v>-423115.476991307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1705544.566507778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1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-41172.6198484498</v>
      </c>
      <c r="C6" s="51">
        <f>C30-C88</f>
        <v>-401172.6198484498</v>
      </c>
      <c r="D6" s="51">
        <f>D30-D88</f>
        <v>-41172.6198484498</v>
      </c>
      <c r="E6" s="51">
        <f>E30-E88</f>
        <v>1705544.566507778</v>
      </c>
      <c r="F6" s="51">
        <f>F30-F88</f>
        <v>-223175.476991307</v>
      </c>
      <c r="G6" s="51">
        <f>G30-G88</f>
        <v>-63115.47699130696</v>
      </c>
      <c r="H6" s="51">
        <f>H30-H88</f>
        <v>-63115.47699130696</v>
      </c>
      <c r="I6" s="51">
        <f>I30-I88</f>
        <v>-423115.476991307</v>
      </c>
      <c r="J6" s="51">
        <f>J30-J88</f>
        <v>-63115.47699130696</v>
      </c>
      <c r="K6" s="51">
        <f>K30-K88</f>
        <v>1683601.709364921</v>
      </c>
      <c r="L6" s="51">
        <f>L30-L88</f>
        <v>-136858.1843333542</v>
      </c>
      <c r="M6" s="51">
        <f>M30-M88</f>
        <v>130224.3102346356</v>
      </c>
      <c r="N6" s="51">
        <f>N30-N88</f>
        <v>-41172.6198484498</v>
      </c>
      <c r="O6" s="51">
        <f>O30-O88</f>
        <v>-401172.6198484498</v>
      </c>
      <c r="P6" s="51">
        <f>P30-P88</f>
        <v>-41172.6198484498</v>
      </c>
      <c r="Q6" s="51">
        <f>Q30-Q88</f>
        <v>1705544.566507778</v>
      </c>
      <c r="R6" s="51">
        <f>R30-R88</f>
        <v>-223175.476991307</v>
      </c>
      <c r="S6" s="51">
        <f>S30-S88</f>
        <v>-63115.47699130696</v>
      </c>
      <c r="T6" s="51">
        <f>T30-T88</f>
        <v>-63115.47699130696</v>
      </c>
      <c r="U6" s="51">
        <f>U30-U88</f>
        <v>-423115.476991307</v>
      </c>
      <c r="V6" s="51">
        <f>V30-V88</f>
        <v>-63115.47699130696</v>
      </c>
      <c r="W6" s="51">
        <f>W30-W88</f>
        <v>1683601.709364921</v>
      </c>
      <c r="X6" s="51">
        <f>X30-X88</f>
        <v>-136858.1843333542</v>
      </c>
      <c r="Y6" s="51">
        <f>Y30-Y88</f>
        <v>130224.3102346356</v>
      </c>
      <c r="Z6" s="51">
        <f>SUMIF($B$13:$Y$13,"Yes",B6:Y6)</f>
        <v>2022184.537423646</v>
      </c>
      <c r="AA6" s="51">
        <f>AA30-AA88</f>
        <v>2063357.157272096</v>
      </c>
      <c r="AB6" s="51">
        <f>AB30-AB88</f>
        <v>4126714.314544188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0</v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0</v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258827.3801515502</v>
      </c>
      <c r="C11" s="80">
        <f>C6+C9-C10</f>
        <v>-431172.6198484498</v>
      </c>
      <c r="D11" s="80">
        <f>D6+D9-D10</f>
        <v>-71172.6198484498</v>
      </c>
      <c r="E11" s="80">
        <f>E6+E9-E10</f>
        <v>1675544.566507778</v>
      </c>
      <c r="F11" s="80">
        <f>F6+F9-F10</f>
        <v>-253175.476991307</v>
      </c>
      <c r="G11" s="80">
        <f>G6+G9-G10</f>
        <v>-93115.47699130696</v>
      </c>
      <c r="H11" s="80">
        <f>H6+H9-H10</f>
        <v>-93115.47699130696</v>
      </c>
      <c r="I11" s="80">
        <f>I6+I9-I10</f>
        <v>-453115.476991307</v>
      </c>
      <c r="J11" s="80">
        <f>J6+J9-J10</f>
        <v>-93115.47699130696</v>
      </c>
      <c r="K11" s="80">
        <f>K6+K9-K10</f>
        <v>1653601.709364921</v>
      </c>
      <c r="L11" s="80">
        <f>L6+L9-L10</f>
        <v>-166858.1843333542</v>
      </c>
      <c r="M11" s="80">
        <f>M6+M9-M10</f>
        <v>100224.3102346356</v>
      </c>
      <c r="N11" s="80">
        <f>N6+N9-N10</f>
        <v>-71172.6198484498</v>
      </c>
      <c r="O11" s="80">
        <f>O6+O9-O10</f>
        <v>-401172.6198484498</v>
      </c>
      <c r="P11" s="80">
        <f>P6+P9-P10</f>
        <v>-41172.6198484498</v>
      </c>
      <c r="Q11" s="80">
        <f>Q6+Q9-Q10</f>
        <v>1705544.566507778</v>
      </c>
      <c r="R11" s="80">
        <f>R6+R9-R10</f>
        <v>-223175.476991307</v>
      </c>
      <c r="S11" s="80">
        <f>S6+S9-S10</f>
        <v>-63115.47699130696</v>
      </c>
      <c r="T11" s="80">
        <f>T6+T9-T10</f>
        <v>-63115.47699130696</v>
      </c>
      <c r="U11" s="80">
        <f>U6+U9-U10</f>
        <v>-423115.476991307</v>
      </c>
      <c r="V11" s="80">
        <f>V6+V9-V10</f>
        <v>-63115.47699130696</v>
      </c>
      <c r="W11" s="80">
        <f>W6+W9-W10</f>
        <v>1683601.709364921</v>
      </c>
      <c r="X11" s="80">
        <f>X6+X9-X10</f>
        <v>-136858.1843333542</v>
      </c>
      <c r="Y11" s="80">
        <f>Y6+Y9-Y10</f>
        <v>130224.3102346356</v>
      </c>
      <c r="Z11" s="85">
        <f>SUMIF($B$13:$Y$13,"Yes",B11:Y11)</f>
        <v>1962184.537423646</v>
      </c>
      <c r="AA11" s="80">
        <f>SUM(B11:M11)</f>
        <v>2033357.157272096</v>
      </c>
      <c r="AB11" s="46">
        <f>SUM(B11:Y11)</f>
        <v>4066714.314544192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0.05913168250484692</v>
      </c>
      <c r="F12" s="82">
        <f>IF(F13="Yes",IF(SUM($B$10:F10)/(SUM($B$6:F6)+SUM($B$9:F9))&lt;0,999.99,SUM($B$10:F10)/(SUM($B$6:F6)+SUM($B$9:F9))),"")</f>
        <v>0.09238933392138225</v>
      </c>
      <c r="G12" s="82">
        <f>IF(G13="Yes",IF(SUM($B$10:G10)/(SUM($B$6:G6)+SUM($B$9:G9))&lt;0,999.99,SUM($B$10:G10)/(SUM($B$6:G6)+SUM($B$9:G9))),"")</f>
        <v>0.1213851744908203</v>
      </c>
      <c r="H12" s="82">
        <f>IF(H13="Yes",IF(SUM($B$10:H10)/(SUM($B$6:H6)+SUM($B$9:H9))&lt;0,999.99,SUM($B$10:H10)/(SUM($B$6:H6)+SUM($B$9:H9))),"")</f>
        <v>0.1535023772706486</v>
      </c>
      <c r="I12" s="82">
        <f>IF(I13="Yes",IF(SUM($B$10:I10)/(SUM($B$6:I6)+SUM($B$9:I9))&lt;0,999.99,SUM($B$10:I10)/(SUM($B$6:I6)+SUM($B$9:I9))),"")</f>
        <v>0.2801849971887697</v>
      </c>
      <c r="J12" s="82">
        <f>IF(J13="Yes",IF(SUM($B$10:J10)/(SUM($B$6:J6)+SUM($B$9:J9))&lt;0,999.99,SUM($B$10:J10)/(SUM($B$6:J6)+SUM($B$9:J9))),"")</f>
        <v>0.3496557890770033</v>
      </c>
      <c r="K12" s="82">
        <f>IF(K13="Yes",IF(SUM($B$10:K10)/(SUM($B$6:K6)+SUM($B$9:K9))&lt;0,999.99,SUM($B$10:K10)/(SUM($B$6:K6)+SUM($B$9:K9))),"")</f>
        <v>0.1139244817495494</v>
      </c>
      <c r="L12" s="82">
        <f>IF(L13="Yes",IF(SUM($B$10:L10)/(SUM($B$6:L6)+SUM($B$9:L9))&lt;0,999.99,SUM($B$10:L10)/(SUM($B$6:L6)+SUM($B$9:L9))),"")</f>
        <v>0.1343404179460209</v>
      </c>
      <c r="M12" s="82">
        <f>IF(M13="Yes",IF(SUM($B$10:M10)/(SUM($B$6:M6)+SUM($B$9:M9))&lt;0,999.99,SUM($B$10:M10)/(SUM($B$6:M6)+SUM($B$9:M9))),"")</f>
        <v>0.139631878738507</v>
      </c>
      <c r="N12" s="82">
        <f>IF(N13="Yes",IF(SUM($B$10:N10)/(SUM($B$6:N6)+SUM($B$9:N9))&lt;0,999.99,SUM($B$10:N10)/(SUM($B$6:N6)+SUM($B$9:N9))),"")</f>
        <v>0.1550264391991013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1746717.186356228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1746717.186356228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1746717.186356228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1746717.186356228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3493434.372712455</v>
      </c>
      <c r="AA18" s="36">
        <f>SUM(B18:M18)</f>
        <v>3493434.372712455</v>
      </c>
      <c r="AB18" s="36">
        <f>SUM(B18:Y18)</f>
        <v>6986868.74542491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142830.7750692379</v>
      </c>
      <c r="M19" s="36">
        <f>Y19</f>
        <v>171396.9300830854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142830.7750692379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171396.9300830854</v>
      </c>
      <c r="Z19" s="36">
        <f>SUMIF($B$13:$Y$13,"Yes",B19:Y19)</f>
        <v>314227.7051523233</v>
      </c>
      <c r="AA19" s="36">
        <f>SUM(B19:M19)</f>
        <v>314227.7051523233</v>
      </c>
      <c r="AB19" s="36">
        <f>SUM(B19:Y19)</f>
        <v>628455.4103046466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125000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134166.6666666667</v>
      </c>
      <c r="C24" s="36">
        <f>IFERROR(Calculations!$P14/12,"")</f>
        <v>134166.6666666667</v>
      </c>
      <c r="D24" s="36">
        <f>IFERROR(Calculations!$P14/12,"")</f>
        <v>134166.6666666667</v>
      </c>
      <c r="E24" s="36">
        <f>IFERROR(Calculations!$P14/12,"")</f>
        <v>134166.6666666667</v>
      </c>
      <c r="F24" s="36">
        <f>IFERROR(Calculations!$P14/12,"")</f>
        <v>134166.6666666667</v>
      </c>
      <c r="G24" s="36">
        <f>IFERROR(Calculations!$P14/12,"")</f>
        <v>134166.6666666667</v>
      </c>
      <c r="H24" s="36">
        <f>IFERROR(Calculations!$P14/12,"")</f>
        <v>134166.6666666667</v>
      </c>
      <c r="I24" s="36">
        <f>IFERROR(Calculations!$P14/12,"")</f>
        <v>134166.6666666667</v>
      </c>
      <c r="J24" s="36">
        <f>IFERROR(Calculations!$P14/12,"")</f>
        <v>134166.6666666667</v>
      </c>
      <c r="K24" s="36">
        <f>IFERROR(Calculations!$P14/12,"")</f>
        <v>134166.6666666667</v>
      </c>
      <c r="L24" s="36">
        <f>IFERROR(Calculations!$P14/12,"")</f>
        <v>134166.6666666667</v>
      </c>
      <c r="M24" s="36">
        <f>IFERROR(Calculations!$P14/12,"")</f>
        <v>134166.6666666667</v>
      </c>
      <c r="N24" s="36">
        <f>IFERROR(Calculations!$P14/12,"")</f>
        <v>134166.6666666667</v>
      </c>
      <c r="O24" s="36">
        <f>IFERROR(Calculations!$P14/12,"")</f>
        <v>134166.6666666667</v>
      </c>
      <c r="P24" s="36">
        <f>IFERROR(Calculations!$P14/12,"")</f>
        <v>134166.6666666667</v>
      </c>
      <c r="Q24" s="36">
        <f>IFERROR(Calculations!$P14/12,"")</f>
        <v>134166.6666666667</v>
      </c>
      <c r="R24" s="36">
        <f>IFERROR(Calculations!$P14/12,"")</f>
        <v>134166.6666666667</v>
      </c>
      <c r="S24" s="36">
        <f>IFERROR(Calculations!$P14/12,"")</f>
        <v>134166.6666666667</v>
      </c>
      <c r="T24" s="36">
        <f>IFERROR(Calculations!$P14/12,"")</f>
        <v>134166.6666666667</v>
      </c>
      <c r="U24" s="36">
        <f>IFERROR(Calculations!$P14/12,"")</f>
        <v>134166.6666666667</v>
      </c>
      <c r="V24" s="36">
        <f>IFERROR(Calculations!$P14/12,"")</f>
        <v>134166.6666666667</v>
      </c>
      <c r="W24" s="36">
        <f>IFERROR(Calculations!$P14/12,"")</f>
        <v>134166.6666666667</v>
      </c>
      <c r="X24" s="36">
        <f>IFERROR(Calculations!$P14/12,"")</f>
        <v>134166.6666666667</v>
      </c>
      <c r="Y24" s="36">
        <f>IFERROR(Calculations!$P14/12,"")</f>
        <v>134166.6666666667</v>
      </c>
      <c r="Z24" s="36">
        <f>SUMIF($B$13:$Y$13,"Yes",B24:Y24)</f>
        <v>1744166.666666667</v>
      </c>
      <c r="AA24" s="36">
        <f>SUM(B24:M24)</f>
        <v>1610000</v>
      </c>
      <c r="AB24" s="46">
        <f>SUM(B24:Y24)</f>
        <v>3219999.999999999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3750</v>
      </c>
      <c r="C25" s="36">
        <f>IFERROR(Calculations!$P15/12,"")</f>
        <v>3750</v>
      </c>
      <c r="D25" s="36">
        <f>IFERROR(Calculations!$P15/12,"")</f>
        <v>3750</v>
      </c>
      <c r="E25" s="36">
        <f>IFERROR(Calculations!$P15/12,"")</f>
        <v>3750</v>
      </c>
      <c r="F25" s="36">
        <f>IFERROR(Calculations!$P15/12,"")</f>
        <v>3750</v>
      </c>
      <c r="G25" s="36">
        <f>IFERROR(Calculations!$P15/12,"")</f>
        <v>3750</v>
      </c>
      <c r="H25" s="36">
        <f>IFERROR(Calculations!$P15/12,"")</f>
        <v>3750</v>
      </c>
      <c r="I25" s="36">
        <f>IFERROR(Calculations!$P15/12,"")</f>
        <v>3750</v>
      </c>
      <c r="J25" s="36">
        <f>IFERROR(Calculations!$P15/12,"")</f>
        <v>3750</v>
      </c>
      <c r="K25" s="36">
        <f>IFERROR(Calculations!$P15/12,"")</f>
        <v>3750</v>
      </c>
      <c r="L25" s="36">
        <f>IFERROR(Calculations!$P15/12,"")</f>
        <v>3750</v>
      </c>
      <c r="M25" s="36">
        <f>IFERROR(Calculations!$P15/12,"")</f>
        <v>3750</v>
      </c>
      <c r="N25" s="36">
        <f>IFERROR(Calculations!$P15/12,"")</f>
        <v>3750</v>
      </c>
      <c r="O25" s="36">
        <f>IFERROR(Calculations!$P15/12,"")</f>
        <v>3750</v>
      </c>
      <c r="P25" s="36">
        <f>IFERROR(Calculations!$P15/12,"")</f>
        <v>3750</v>
      </c>
      <c r="Q25" s="36">
        <f>IFERROR(Calculations!$P15/12,"")</f>
        <v>3750</v>
      </c>
      <c r="R25" s="36">
        <f>IFERROR(Calculations!$P15/12,"")</f>
        <v>3750</v>
      </c>
      <c r="S25" s="36">
        <f>IFERROR(Calculations!$P15/12,"")</f>
        <v>3750</v>
      </c>
      <c r="T25" s="36">
        <f>IFERROR(Calculations!$P15/12,"")</f>
        <v>3750</v>
      </c>
      <c r="U25" s="36">
        <f>IFERROR(Calculations!$P15/12,"")</f>
        <v>3750</v>
      </c>
      <c r="V25" s="36">
        <f>IFERROR(Calculations!$P15/12,"")</f>
        <v>3750</v>
      </c>
      <c r="W25" s="36">
        <f>IFERROR(Calculations!$P15/12,"")</f>
        <v>3750</v>
      </c>
      <c r="X25" s="36">
        <f>IFERROR(Calculations!$P15/12,"")</f>
        <v>3750</v>
      </c>
      <c r="Y25" s="36">
        <f>IFERROR(Calculations!$P15/12,"")</f>
        <v>3750</v>
      </c>
      <c r="Z25" s="36">
        <f>SUMIF($B$13:$Y$13,"Yes",B25:Y25)</f>
        <v>48750</v>
      </c>
      <c r="AA25" s="36">
        <f>SUM(B25:M25)</f>
        <v>45000</v>
      </c>
      <c r="AB25" s="46">
        <f>SUM(B25:Y25)</f>
        <v>90000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16000</v>
      </c>
      <c r="C29" s="37">
        <f>Inputs!$B$30</f>
        <v>16000</v>
      </c>
      <c r="D29" s="37">
        <f>Inputs!$B$30</f>
        <v>16000</v>
      </c>
      <c r="E29" s="37">
        <f>Inputs!$B$30</f>
        <v>16000</v>
      </c>
      <c r="F29" s="37">
        <f>Inputs!$B$30</f>
        <v>16000</v>
      </c>
      <c r="G29" s="37">
        <f>Inputs!$B$30</f>
        <v>16000</v>
      </c>
      <c r="H29" s="37">
        <f>Inputs!$B$30</f>
        <v>16000</v>
      </c>
      <c r="I29" s="37">
        <f>Inputs!$B$30</f>
        <v>16000</v>
      </c>
      <c r="J29" s="37">
        <f>Inputs!$B$30</f>
        <v>16000</v>
      </c>
      <c r="K29" s="37">
        <f>Inputs!$B$30</f>
        <v>16000</v>
      </c>
      <c r="L29" s="37">
        <f>Inputs!$B$30</f>
        <v>16000</v>
      </c>
      <c r="M29" s="37">
        <f>Inputs!$B$30</f>
        <v>16000</v>
      </c>
      <c r="N29" s="37">
        <f>Inputs!$B$30</f>
        <v>16000</v>
      </c>
      <c r="O29" s="37">
        <f>Inputs!$B$30</f>
        <v>16000</v>
      </c>
      <c r="P29" s="37">
        <f>Inputs!$B$30</f>
        <v>16000</v>
      </c>
      <c r="Q29" s="37">
        <f>Inputs!$B$30</f>
        <v>16000</v>
      </c>
      <c r="R29" s="37">
        <f>Inputs!$B$30</f>
        <v>16000</v>
      </c>
      <c r="S29" s="37">
        <f>Inputs!$B$30</f>
        <v>16000</v>
      </c>
      <c r="T29" s="37">
        <f>Inputs!$B$30</f>
        <v>16000</v>
      </c>
      <c r="U29" s="37">
        <f>Inputs!$B$30</f>
        <v>16000</v>
      </c>
      <c r="V29" s="37">
        <f>Inputs!$B$30</f>
        <v>16000</v>
      </c>
      <c r="W29" s="37">
        <f>Inputs!$B$30</f>
        <v>16000</v>
      </c>
      <c r="X29" s="37">
        <f>Inputs!$B$30</f>
        <v>16000</v>
      </c>
      <c r="Y29" s="37">
        <f>Inputs!$B$30</f>
        <v>16000</v>
      </c>
      <c r="Z29" s="37">
        <f>SUMIF($B$13:$Y$13,"Yes",B29:Y29)</f>
        <v>208000</v>
      </c>
      <c r="AA29" s="37">
        <f>SUM(B29:M29)</f>
        <v>192000</v>
      </c>
      <c r="AB29" s="37">
        <f>SUM(B29:Y29)</f>
        <v>384000</v>
      </c>
    </row>
    <row r="30" spans="1:30" customHeight="1" ht="15.75">
      <c r="A30" s="1" t="s">
        <v>37</v>
      </c>
      <c r="B30" s="19">
        <f>SUM(B18:B29)</f>
        <v>153916.6666666667</v>
      </c>
      <c r="C30" s="19">
        <f>SUM(C18:C29)</f>
        <v>153916.6666666667</v>
      </c>
      <c r="D30" s="19">
        <f>SUM(D18:D29)</f>
        <v>153916.6666666667</v>
      </c>
      <c r="E30" s="19">
        <f>SUM(E18:E29)</f>
        <v>1900633.853022894</v>
      </c>
      <c r="F30" s="19">
        <f>SUM(F18:F29)</f>
        <v>153916.6666666667</v>
      </c>
      <c r="G30" s="19">
        <f>SUM(G18:G29)</f>
        <v>153916.6666666667</v>
      </c>
      <c r="H30" s="19">
        <f>SUM(H18:H29)</f>
        <v>153916.6666666667</v>
      </c>
      <c r="I30" s="19">
        <f>SUM(I18:I29)</f>
        <v>153916.6666666667</v>
      </c>
      <c r="J30" s="19">
        <f>SUM(J18:J29)</f>
        <v>153916.6666666667</v>
      </c>
      <c r="K30" s="19">
        <f>SUM(K18:K29)</f>
        <v>1900633.853022894</v>
      </c>
      <c r="L30" s="19">
        <f>SUM(L18:L29)</f>
        <v>296747.4417359045</v>
      </c>
      <c r="M30" s="19">
        <f>SUM(M18:M29)</f>
        <v>325313.5967497521</v>
      </c>
      <c r="N30" s="19">
        <f>SUM(N18:N29)</f>
        <v>153916.6666666667</v>
      </c>
      <c r="O30" s="19">
        <f>SUM(O18:O29)</f>
        <v>153916.6666666667</v>
      </c>
      <c r="P30" s="19">
        <f>SUM(P18:P29)</f>
        <v>153916.6666666667</v>
      </c>
      <c r="Q30" s="19">
        <f>SUM(Q18:Q29)</f>
        <v>1900633.853022894</v>
      </c>
      <c r="R30" s="19">
        <f>SUM(R18:R29)</f>
        <v>153916.6666666667</v>
      </c>
      <c r="S30" s="19">
        <f>SUM(S18:S29)</f>
        <v>153916.6666666667</v>
      </c>
      <c r="T30" s="19">
        <f>SUM(T18:T29)</f>
        <v>153916.6666666667</v>
      </c>
      <c r="U30" s="19">
        <f>SUM(U18:U29)</f>
        <v>153916.6666666667</v>
      </c>
      <c r="V30" s="19">
        <f>SUM(V18:V29)</f>
        <v>153916.6666666667</v>
      </c>
      <c r="W30" s="19">
        <f>SUM(W18:W29)</f>
        <v>1900633.853022894</v>
      </c>
      <c r="X30" s="19">
        <f>SUM(X18:X29)</f>
        <v>296747.4417359045</v>
      </c>
      <c r="Y30" s="19">
        <f>SUM(Y18:Y29)</f>
        <v>325313.5967497521</v>
      </c>
      <c r="Z30" s="19">
        <f>SUMIF($B$13:$Y$13,"Yes",B30:Y30)</f>
        <v>5808578.744531445</v>
      </c>
      <c r="AA30" s="19">
        <f>SUM(B30:M30)</f>
        <v>5654662.077864778</v>
      </c>
      <c r="AB30" s="19">
        <f>SUM(B30:Y30)</f>
        <v>11309324.15572956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160060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154000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160060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154000</v>
      </c>
      <c r="Y42" s="36">
        <f>SUM(Y43:Y47)</f>
        <v>0</v>
      </c>
      <c r="Z42" s="36">
        <f>SUMIF($B$13:$Y$13,"Yes",B42:Y42)</f>
        <v>314060</v>
      </c>
      <c r="AA42" s="36">
        <f>SUM(B42:M42)</f>
        <v>314060</v>
      </c>
      <c r="AB42" s="36">
        <f>SUM(B42:Y42)</f>
        <v>628120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154000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154000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154000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154000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308000</v>
      </c>
      <c r="AA43" s="36">
        <f>SUM(B43:M43)</f>
        <v>308000</v>
      </c>
      <c r="AB43" s="36">
        <f>SUM(B43:Y43)</f>
        <v>616000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6060.000000000001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6060.000000000001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6060.000000000001</v>
      </c>
      <c r="AA44" s="36">
        <f>SUM(B44:M44)</f>
        <v>6060.000000000001</v>
      </c>
      <c r="AB44" s="36">
        <f>SUM(B44:Y44)</f>
        <v>12120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360000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360000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360000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360000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720000</v>
      </c>
      <c r="AA48" s="46">
        <f>SUM(B48:M48)</f>
        <v>720000</v>
      </c>
      <c r="AB48" s="46">
        <f>SUM(B48:Y48)</f>
        <v>1440000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360000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360000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360000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360000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720000</v>
      </c>
      <c r="AA49" s="46">
        <f>SUM(B49:M49)</f>
        <v>720000</v>
      </c>
      <c r="AB49" s="46">
        <f>SUM(B49:Y49)</f>
        <v>1440000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62573.48241128515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62573.48241128515</v>
      </c>
      <c r="Y54" s="46">
        <f>SUM(Y55:Y59)</f>
        <v>0</v>
      </c>
      <c r="Z54" s="46">
        <f>SUMIF($B$13:$Y$13,"Yes",B54:Y54)</f>
        <v>62573.48241128515</v>
      </c>
      <c r="AA54" s="46">
        <f>SUM(B54:M54)</f>
        <v>62573.48241128515</v>
      </c>
      <c r="AB54" s="46">
        <f>SUM(B54:Y54)</f>
        <v>125146.9648225703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62573.48241128515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62573.48241128515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62573.48241128515</v>
      </c>
      <c r="AA56" s="46">
        <f>SUM(B56:M56)</f>
        <v>62573.48241128515</v>
      </c>
      <c r="AB56" s="46">
        <f>SUM(B56:Y56)</f>
        <v>125146.9648225703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64000</v>
      </c>
      <c r="C66" s="36">
        <f>O66</f>
        <v>64000</v>
      </c>
      <c r="D66" s="36">
        <f>P66</f>
        <v>64000</v>
      </c>
      <c r="E66" s="36">
        <f>Q66</f>
        <v>64000</v>
      </c>
      <c r="F66" s="36">
        <f>R66</f>
        <v>85942.85714285714</v>
      </c>
      <c r="G66" s="36">
        <f>S66</f>
        <v>85942.85714285714</v>
      </c>
      <c r="H66" s="36">
        <f>T66</f>
        <v>85942.85714285714</v>
      </c>
      <c r="I66" s="36">
        <f>U66</f>
        <v>85942.85714285714</v>
      </c>
      <c r="J66" s="36">
        <f>V66</f>
        <v>85942.85714285714</v>
      </c>
      <c r="K66" s="36">
        <f>W66</f>
        <v>85942.85714285714</v>
      </c>
      <c r="L66" s="36">
        <f>X66</f>
        <v>85942.85714285714</v>
      </c>
      <c r="M66" s="36">
        <f>Y66</f>
        <v>64000</v>
      </c>
      <c r="N66" s="46">
        <f>SUM(N67:N71)</f>
        <v>64000</v>
      </c>
      <c r="O66" s="46">
        <f>SUM(O67:O71)</f>
        <v>64000</v>
      </c>
      <c r="P66" s="46">
        <f>SUM(P67:P71)</f>
        <v>64000</v>
      </c>
      <c r="Q66" s="46">
        <f>SUM(Q67:Q71)</f>
        <v>64000</v>
      </c>
      <c r="R66" s="46">
        <f>SUM(R67:R71)</f>
        <v>85942.85714285714</v>
      </c>
      <c r="S66" s="46">
        <f>SUM(S67:S71)</f>
        <v>85942.85714285714</v>
      </c>
      <c r="T66" s="46">
        <f>SUM(T67:T71)</f>
        <v>85942.85714285714</v>
      </c>
      <c r="U66" s="46">
        <f>SUM(U67:U71)</f>
        <v>85942.85714285714</v>
      </c>
      <c r="V66" s="46">
        <f>SUM(V67:V71)</f>
        <v>85942.85714285714</v>
      </c>
      <c r="W66" s="46">
        <f>SUM(W67:W71)</f>
        <v>85942.85714285714</v>
      </c>
      <c r="X66" s="46">
        <f>SUM(X67:X71)</f>
        <v>85942.85714285714</v>
      </c>
      <c r="Y66" s="46">
        <f>SUM(Y67:Y71)</f>
        <v>64000</v>
      </c>
      <c r="Z66" s="46">
        <f>SUMIF($B$13:$Y$13,"Yes",B66:Y66)</f>
        <v>985600.0000000001</v>
      </c>
      <c r="AA66" s="46">
        <f>SUM(B66:M66)</f>
        <v>921600.0000000001</v>
      </c>
      <c r="AB66" s="46">
        <f>SUM(B66:Y66)</f>
        <v>1843199.999999999</v>
      </c>
    </row>
    <row r="67" spans="1:30" hidden="true" outlineLevel="1">
      <c r="A67" s="181" t="str">
        <f>Calculations!$A$4</f>
        <v>Wheat</v>
      </c>
      <c r="B67" s="36">
        <f>N67</f>
        <v>64000</v>
      </c>
      <c r="C67" s="36">
        <f>O67</f>
        <v>64000</v>
      </c>
      <c r="D67" s="36">
        <f>P67</f>
        <v>64000</v>
      </c>
      <c r="E67" s="36">
        <f>Q67</f>
        <v>64000</v>
      </c>
      <c r="F67" s="36">
        <f>R67</f>
        <v>64000</v>
      </c>
      <c r="G67" s="36">
        <f>S67</f>
        <v>64000</v>
      </c>
      <c r="H67" s="36">
        <f>T67</f>
        <v>64000</v>
      </c>
      <c r="I67" s="36">
        <f>U67</f>
        <v>64000</v>
      </c>
      <c r="J67" s="36">
        <f>V67</f>
        <v>64000</v>
      </c>
      <c r="K67" s="36">
        <f>W67</f>
        <v>64000</v>
      </c>
      <c r="L67" s="36">
        <f>X67</f>
        <v>64000</v>
      </c>
      <c r="M67" s="36">
        <f>Y67</f>
        <v>64000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64000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64000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64000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64000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64000</v>
      </c>
      <c r="Z67" s="46">
        <f>SUMIF($B$13:$Y$13,"Yes",B67:Y67)</f>
        <v>832000</v>
      </c>
      <c r="AA67" s="46">
        <f>SUM(B67:M67)</f>
        <v>768000</v>
      </c>
      <c r="AB67" s="46">
        <f>SUM(B67:Y67)</f>
        <v>1536000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21942.85714285714</v>
      </c>
      <c r="G68" s="36">
        <f>S68</f>
        <v>21942.85714285714</v>
      </c>
      <c r="H68" s="36">
        <f>T68</f>
        <v>21942.85714285714</v>
      </c>
      <c r="I68" s="36">
        <f>U68</f>
        <v>21942.85714285714</v>
      </c>
      <c r="J68" s="36">
        <f>V68</f>
        <v>21942.85714285714</v>
      </c>
      <c r="K68" s="36">
        <f>W68</f>
        <v>21942.85714285714</v>
      </c>
      <c r="L68" s="36">
        <f>X68</f>
        <v>21942.85714285714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21942.85714285714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21942.85714285714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21942.85714285714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21942.85714285714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21942.85714285714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21942.85714285714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21942.85714285714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153600</v>
      </c>
      <c r="AA68" s="46">
        <f>SUM(B68:M68)</f>
        <v>153600</v>
      </c>
      <c r="AB68" s="46">
        <f>SUM(B68:Y68)</f>
        <v>307200.0000000001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4250</v>
      </c>
      <c r="C75" s="46">
        <f>SUM(Calculations!$R$14:$R$16)/12</f>
        <v>4250</v>
      </c>
      <c r="D75" s="46">
        <f>SUM(Calculations!$R$14:$R$16)/12</f>
        <v>4250</v>
      </c>
      <c r="E75" s="46">
        <f>SUM(Calculations!$R$14:$R$16)/12</f>
        <v>4250</v>
      </c>
      <c r="F75" s="46">
        <f>SUM(Calculations!$R$14:$R$16)/12</f>
        <v>4250</v>
      </c>
      <c r="G75" s="46">
        <f>SUM(Calculations!$R$14:$R$16)/12</f>
        <v>4250</v>
      </c>
      <c r="H75" s="46">
        <f>SUM(Calculations!$R$14:$R$16)/12</f>
        <v>4250</v>
      </c>
      <c r="I75" s="46">
        <f>SUM(Calculations!$R$14:$R$16)/12</f>
        <v>4250</v>
      </c>
      <c r="J75" s="46">
        <f>SUM(Calculations!$R$14:$R$16)/12</f>
        <v>4250</v>
      </c>
      <c r="K75" s="46">
        <f>SUM(Calculations!$R$14:$R$16)/12</f>
        <v>4250</v>
      </c>
      <c r="L75" s="46">
        <f>SUM(Calculations!$R$14:$R$16)/12</f>
        <v>4250</v>
      </c>
      <c r="M75" s="46">
        <f>SUM(Calculations!$R$14:$R$16)/12</f>
        <v>4250</v>
      </c>
      <c r="N75" s="46">
        <f>SUM(Calculations!$R$14:$R$16)/12</f>
        <v>4250</v>
      </c>
      <c r="O75" s="46">
        <f>SUM(Calculations!$R$14:$R$16)/12</f>
        <v>4250</v>
      </c>
      <c r="P75" s="46">
        <f>SUM(Calculations!$R$14:$R$16)/12</f>
        <v>4250</v>
      </c>
      <c r="Q75" s="46">
        <f>SUM(Calculations!$R$14:$R$16)/12</f>
        <v>4250</v>
      </c>
      <c r="R75" s="46">
        <f>SUM(Calculations!$R$14:$R$16)/12</f>
        <v>4250</v>
      </c>
      <c r="S75" s="46">
        <f>SUM(Calculations!$R$14:$R$16)/12</f>
        <v>4250</v>
      </c>
      <c r="T75" s="46">
        <f>SUM(Calculations!$R$14:$R$16)/12</f>
        <v>4250</v>
      </c>
      <c r="U75" s="46">
        <f>SUM(Calculations!$R$14:$R$16)/12</f>
        <v>4250</v>
      </c>
      <c r="V75" s="46">
        <f>SUM(Calculations!$R$14:$R$16)/12</f>
        <v>4250</v>
      </c>
      <c r="W75" s="46">
        <f>SUM(Calculations!$R$14:$R$16)/12</f>
        <v>4250</v>
      </c>
      <c r="X75" s="46">
        <f>SUM(Calculations!$R$14:$R$16)/12</f>
        <v>4250</v>
      </c>
      <c r="Y75" s="46">
        <f>SUM(Calculations!$R$14:$R$16)/12</f>
        <v>4250</v>
      </c>
      <c r="Z75" s="46">
        <f>SUMIF($B$13:$Y$13,"Yes",B75:Y75)</f>
        <v>55250</v>
      </c>
      <c r="AA75" s="46">
        <f>SUM(B75:M75)</f>
        <v>51000</v>
      </c>
      <c r="AB75" s="46">
        <f>SUM(B75:Y75)</f>
        <v>102000</v>
      </c>
    </row>
    <row r="76" spans="1:30">
      <c r="A76" s="16" t="s">
        <v>48</v>
      </c>
      <c r="B76" s="46">
        <f>SUM(Calculations!$S$14:$S$16)/12</f>
        <v>5208.333333333333</v>
      </c>
      <c r="C76" s="46">
        <f>SUM(Calculations!$S$14:$S$16)/12</f>
        <v>5208.333333333333</v>
      </c>
      <c r="D76" s="46">
        <f>SUM(Calculations!$S$14:$S$16)/12</f>
        <v>5208.333333333333</v>
      </c>
      <c r="E76" s="46">
        <f>SUM(Calculations!$S$14:$S$16)/12</f>
        <v>5208.333333333333</v>
      </c>
      <c r="F76" s="46">
        <f>SUM(Calculations!$S$14:$S$16)/12</f>
        <v>5208.333333333333</v>
      </c>
      <c r="G76" s="46">
        <f>SUM(Calculations!$S$14:$S$16)/12</f>
        <v>5208.333333333333</v>
      </c>
      <c r="H76" s="46">
        <f>SUM(Calculations!$S$14:$S$16)/12</f>
        <v>5208.333333333333</v>
      </c>
      <c r="I76" s="46">
        <f>SUM(Calculations!$S$14:$S$16)/12</f>
        <v>5208.333333333333</v>
      </c>
      <c r="J76" s="46">
        <f>SUM(Calculations!$S$14:$S$16)/12</f>
        <v>5208.333333333333</v>
      </c>
      <c r="K76" s="46">
        <f>SUM(Calculations!$S$14:$S$16)/12</f>
        <v>5208.333333333333</v>
      </c>
      <c r="L76" s="46">
        <f>SUM(Calculations!$S$14:$S$16)/12</f>
        <v>5208.333333333333</v>
      </c>
      <c r="M76" s="46">
        <f>SUM(Calculations!$S$14:$S$16)/12</f>
        <v>5208.333333333333</v>
      </c>
      <c r="N76" s="46">
        <f>SUM(Calculations!$S$14:$S$16)/12</f>
        <v>5208.333333333333</v>
      </c>
      <c r="O76" s="46">
        <f>SUM(Calculations!$S$14:$S$16)/12</f>
        <v>5208.333333333333</v>
      </c>
      <c r="P76" s="46">
        <f>SUM(Calculations!$S$14:$S$16)/12</f>
        <v>5208.333333333333</v>
      </c>
      <c r="Q76" s="46">
        <f>SUM(Calculations!$S$14:$S$16)/12</f>
        <v>5208.333333333333</v>
      </c>
      <c r="R76" s="46">
        <f>SUM(Calculations!$S$14:$S$16)/12</f>
        <v>5208.333333333333</v>
      </c>
      <c r="S76" s="46">
        <f>SUM(Calculations!$S$14:$S$16)/12</f>
        <v>5208.333333333333</v>
      </c>
      <c r="T76" s="46">
        <f>SUM(Calculations!$S$14:$S$16)/12</f>
        <v>5208.333333333333</v>
      </c>
      <c r="U76" s="46">
        <f>SUM(Calculations!$S$14:$S$16)/12</f>
        <v>5208.333333333333</v>
      </c>
      <c r="V76" s="46">
        <f>SUM(Calculations!$S$14:$S$16)/12</f>
        <v>5208.333333333333</v>
      </c>
      <c r="W76" s="46">
        <f>SUM(Calculations!$S$14:$S$16)/12</f>
        <v>5208.333333333333</v>
      </c>
      <c r="X76" s="46">
        <f>SUM(Calculations!$S$14:$S$16)/12</f>
        <v>5208.333333333333</v>
      </c>
      <c r="Y76" s="46">
        <f>SUM(Calculations!$S$14:$S$16)/12</f>
        <v>5208.333333333333</v>
      </c>
      <c r="Z76" s="46">
        <f>SUMIF($B$13:$Y$13,"Yes",B76:Y76)</f>
        <v>67708.33333333334</v>
      </c>
      <c r="AA76" s="46">
        <f>SUM(B76:M76)</f>
        <v>62500.00000000001</v>
      </c>
      <c r="AB76" s="46">
        <f>SUM(B76:Y76)</f>
        <v>125000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7000</v>
      </c>
      <c r="C79" s="46">
        <f>Inputs!$B$31</f>
        <v>7000</v>
      </c>
      <c r="D79" s="46">
        <f>Inputs!$B$31</f>
        <v>7000</v>
      </c>
      <c r="E79" s="46">
        <f>Inputs!$B$31</f>
        <v>7000</v>
      </c>
      <c r="F79" s="46">
        <f>Inputs!$B$31</f>
        <v>7000</v>
      </c>
      <c r="G79" s="46">
        <f>Inputs!$B$31</f>
        <v>7000</v>
      </c>
      <c r="H79" s="46">
        <f>Inputs!$B$31</f>
        <v>7000</v>
      </c>
      <c r="I79" s="46">
        <f>Inputs!$B$31</f>
        <v>7000</v>
      </c>
      <c r="J79" s="46">
        <f>Inputs!$B$31</f>
        <v>7000</v>
      </c>
      <c r="K79" s="46">
        <f>Inputs!$B$31</f>
        <v>7000</v>
      </c>
      <c r="L79" s="46">
        <f>Inputs!$B$31</f>
        <v>7000</v>
      </c>
      <c r="M79" s="46">
        <f>Inputs!$B$31</f>
        <v>7000</v>
      </c>
      <c r="N79" s="46">
        <f>Inputs!$B$31</f>
        <v>7000</v>
      </c>
      <c r="O79" s="46">
        <f>Inputs!$B$31</f>
        <v>7000</v>
      </c>
      <c r="P79" s="46">
        <f>Inputs!$B$31</f>
        <v>7000</v>
      </c>
      <c r="Q79" s="46">
        <f>Inputs!$B$31</f>
        <v>7000</v>
      </c>
      <c r="R79" s="46">
        <f>Inputs!$B$31</f>
        <v>7000</v>
      </c>
      <c r="S79" s="46">
        <f>Inputs!$B$31</f>
        <v>7000</v>
      </c>
      <c r="T79" s="46">
        <f>Inputs!$B$31</f>
        <v>7000</v>
      </c>
      <c r="U79" s="46">
        <f>Inputs!$B$31</f>
        <v>7000</v>
      </c>
      <c r="V79" s="46">
        <f>Inputs!$B$31</f>
        <v>7000</v>
      </c>
      <c r="W79" s="46">
        <f>Inputs!$B$31</f>
        <v>7000</v>
      </c>
      <c r="X79" s="46">
        <f>Inputs!$B$31</f>
        <v>7000</v>
      </c>
      <c r="Y79" s="46">
        <f>Inputs!$B$31</f>
        <v>7000</v>
      </c>
      <c r="Z79" s="46">
        <f>SUMIF($B$13:$Y$13,"Yes",B79:Y79)</f>
        <v>91000</v>
      </c>
      <c r="AA79" s="46">
        <f>SUM(B79:M79)</f>
        <v>84000</v>
      </c>
      <c r="AB79" s="46">
        <f>SUM(B79:Y79)</f>
        <v>168000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114630.9531817831</v>
      </c>
      <c r="C81" s="46">
        <f>(SUM($AA$18:$AA$29)-SUM($AA$36,$AA$42,$AA$48,$AA$54,$AA$60,$AA$66,$AA$72:$AA$79))*Parameters!$B$37/12</f>
        <v>114630.9531817831</v>
      </c>
      <c r="D81" s="46">
        <f>(SUM($AA$18:$AA$29)-SUM($AA$36,$AA$42,$AA$48,$AA$54,$AA$60,$AA$66,$AA$72:$AA$79))*Parameters!$B$37/12</f>
        <v>114630.9531817831</v>
      </c>
      <c r="E81" s="46">
        <f>(SUM($AA$18:$AA$29)-SUM($AA$36,$AA$42,$AA$48,$AA$54,$AA$60,$AA$66,$AA$72:$AA$79))*Parameters!$B$37/12</f>
        <v>114630.9531817831</v>
      </c>
      <c r="F81" s="46">
        <f>(SUM($AA$18:$AA$29)-SUM($AA$36,$AA$42,$AA$48,$AA$54,$AA$60,$AA$66,$AA$72:$AA$79))*Parameters!$B$37/12</f>
        <v>114630.9531817831</v>
      </c>
      <c r="G81" s="46">
        <f>(SUM($AA$18:$AA$29)-SUM($AA$36,$AA$42,$AA$48,$AA$54,$AA$60,$AA$66,$AA$72:$AA$79))*Parameters!$B$37/12</f>
        <v>114630.9531817831</v>
      </c>
      <c r="H81" s="46">
        <f>(SUM($AA$18:$AA$29)-SUM($AA$36,$AA$42,$AA$48,$AA$54,$AA$60,$AA$66,$AA$72:$AA$79))*Parameters!$B$37/12</f>
        <v>114630.9531817831</v>
      </c>
      <c r="I81" s="46">
        <f>(SUM($AA$18:$AA$29)-SUM($AA$36,$AA$42,$AA$48,$AA$54,$AA$60,$AA$66,$AA$72:$AA$79))*Parameters!$B$37/12</f>
        <v>114630.9531817831</v>
      </c>
      <c r="J81" s="46">
        <f>(SUM($AA$18:$AA$29)-SUM($AA$36,$AA$42,$AA$48,$AA$54,$AA$60,$AA$66,$AA$72:$AA$79))*Parameters!$B$37/12</f>
        <v>114630.9531817831</v>
      </c>
      <c r="K81" s="46">
        <f>(SUM($AA$18:$AA$29)-SUM($AA$36,$AA$42,$AA$48,$AA$54,$AA$60,$AA$66,$AA$72:$AA$79))*Parameters!$B$37/12</f>
        <v>114630.9531817831</v>
      </c>
      <c r="L81" s="46">
        <f>(SUM($AA$18:$AA$29)-SUM($AA$36,$AA$42,$AA$48,$AA$54,$AA$60,$AA$66,$AA$72:$AA$79))*Parameters!$B$37/12</f>
        <v>114630.9531817831</v>
      </c>
      <c r="M81" s="46">
        <f>(SUM($AA$18:$AA$29)-SUM($AA$36,$AA$42,$AA$48,$AA$54,$AA$60,$AA$66,$AA$72:$AA$79))*Parameters!$B$37/12</f>
        <v>114630.9531817831</v>
      </c>
      <c r="N81" s="46">
        <f>(SUM($AA$18:$AA$29)-SUM($AA$36,$AA$42,$AA$48,$AA$54,$AA$60,$AA$66,$AA$72:$AA$79))*Parameters!$B$37/12</f>
        <v>114630.9531817831</v>
      </c>
      <c r="O81" s="46">
        <f>(SUM($AA$18:$AA$29)-SUM($AA$36,$AA$42,$AA$48,$AA$54,$AA$60,$AA$66,$AA$72:$AA$79))*Parameters!$B$37/12</f>
        <v>114630.9531817831</v>
      </c>
      <c r="P81" s="46">
        <f>(SUM($AA$18:$AA$29)-SUM($AA$36,$AA$42,$AA$48,$AA$54,$AA$60,$AA$66,$AA$72:$AA$79))*Parameters!$B$37/12</f>
        <v>114630.9531817831</v>
      </c>
      <c r="Q81" s="46">
        <f>(SUM($AA$18:$AA$29)-SUM($AA$36,$AA$42,$AA$48,$AA$54,$AA$60,$AA$66,$AA$72:$AA$79))*Parameters!$B$37/12</f>
        <v>114630.9531817831</v>
      </c>
      <c r="R81" s="46">
        <f>(SUM($AA$18:$AA$29)-SUM($AA$36,$AA$42,$AA$48,$AA$54,$AA$60,$AA$66,$AA$72:$AA$79))*Parameters!$B$37/12</f>
        <v>114630.9531817831</v>
      </c>
      <c r="S81" s="46">
        <f>(SUM($AA$18:$AA$29)-SUM($AA$36,$AA$42,$AA$48,$AA$54,$AA$60,$AA$66,$AA$72:$AA$79))*Parameters!$B$37/12</f>
        <v>114630.9531817831</v>
      </c>
      <c r="T81" s="46">
        <f>(SUM($AA$18:$AA$29)-SUM($AA$36,$AA$42,$AA$48,$AA$54,$AA$60,$AA$66,$AA$72:$AA$79))*Parameters!$B$37/12</f>
        <v>114630.9531817831</v>
      </c>
      <c r="U81" s="46">
        <f>(SUM($AA$18:$AA$29)-SUM($AA$36,$AA$42,$AA$48,$AA$54,$AA$60,$AA$66,$AA$72:$AA$79))*Parameters!$B$37/12</f>
        <v>114630.9531817831</v>
      </c>
      <c r="V81" s="46">
        <f>(SUM($AA$18:$AA$29)-SUM($AA$36,$AA$42,$AA$48,$AA$54,$AA$60,$AA$66,$AA$72:$AA$79))*Parameters!$B$37/12</f>
        <v>114630.9531817831</v>
      </c>
      <c r="W81" s="46">
        <f>(SUM($AA$18:$AA$29)-SUM($AA$36,$AA$42,$AA$48,$AA$54,$AA$60,$AA$66,$AA$72:$AA$79))*Parameters!$B$37/12</f>
        <v>114630.9531817831</v>
      </c>
      <c r="X81" s="46">
        <f>(SUM($AA$18:$AA$29)-SUM($AA$36,$AA$42,$AA$48,$AA$54,$AA$60,$AA$66,$AA$72:$AA$79))*Parameters!$B$37/12</f>
        <v>114630.9531817831</v>
      </c>
      <c r="Y81" s="46">
        <f>(SUM($AA$18:$AA$29)-SUM($AA$36,$AA$42,$AA$48,$AA$54,$AA$60,$AA$66,$AA$72:$AA$79))*Parameters!$B$37/12</f>
        <v>114630.9531817831</v>
      </c>
      <c r="Z81" s="46">
        <f>SUMIF($B$13:$Y$13,"Yes",B81:Y81)</f>
        <v>1490202.391363181</v>
      </c>
      <c r="AA81" s="46">
        <f>SUM(B81:M81)</f>
        <v>1375571.438181398</v>
      </c>
      <c r="AB81" s="46">
        <f>SUM(B81:Y81)</f>
        <v>2751142.876362796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195089.2865151165</v>
      </c>
      <c r="C88" s="19">
        <f>SUM(C72:C82,C66,C60,C54,C48,C42,C36)</f>
        <v>555089.2865151165</v>
      </c>
      <c r="D88" s="19">
        <f>SUM(D72:D82,D66,D60,D54,D48,D42,D36)</f>
        <v>195089.2865151165</v>
      </c>
      <c r="E88" s="19">
        <f>SUM(E72:E82,E66,E60,E54,E48,E42,E36)</f>
        <v>195089.2865151165</v>
      </c>
      <c r="F88" s="19">
        <f>SUM(F72:F82,F66,F60,F54,F48,F42,F36)</f>
        <v>377092.1436579736</v>
      </c>
      <c r="G88" s="19">
        <f>SUM(G72:G82,G66,G60,G54,G48,G42,G36)</f>
        <v>217032.1436579736</v>
      </c>
      <c r="H88" s="19">
        <f>SUM(H72:H82,H66,H60,H54,H48,H42,H36)</f>
        <v>217032.1436579736</v>
      </c>
      <c r="I88" s="19">
        <f>SUM(I72:I82,I66,I60,I54,I48,I42,I36)</f>
        <v>577032.1436579736</v>
      </c>
      <c r="J88" s="19">
        <f>SUM(J72:J82,J66,J60,J54,J48,J42,J36)</f>
        <v>217032.1436579736</v>
      </c>
      <c r="K88" s="19">
        <f>SUM(K72:K82,K66,K60,K54,K48,K42,K36)</f>
        <v>217032.1436579736</v>
      </c>
      <c r="L88" s="19">
        <f>SUM(L72:L82,L66,L60,L54,L48,L42,L36)</f>
        <v>433605.6260692588</v>
      </c>
      <c r="M88" s="19">
        <f>SUM(M72:M82,M66,M60,M54,M48,M42,M36)</f>
        <v>195089.2865151165</v>
      </c>
      <c r="N88" s="19">
        <f>SUM(N72:N82,N66,N60,N54,N48,N42,N36)</f>
        <v>195089.2865151165</v>
      </c>
      <c r="O88" s="19">
        <f>SUM(O72:O82,O66,O60,O54,O48,O42,O36)</f>
        <v>555089.2865151165</v>
      </c>
      <c r="P88" s="19">
        <f>SUM(P72:P82,P66,P60,P54,P48,P42,P36)</f>
        <v>195089.2865151165</v>
      </c>
      <c r="Q88" s="19">
        <f>SUM(Q72:Q82,Q66,Q60,Q54,Q48,Q42,Q36)</f>
        <v>195089.2865151165</v>
      </c>
      <c r="R88" s="19">
        <f>SUM(R72:R82,R66,R60,R54,R48,R42,R36)</f>
        <v>377092.1436579736</v>
      </c>
      <c r="S88" s="19">
        <f>SUM(S72:S82,S66,S60,S54,S48,S42,S36)</f>
        <v>217032.1436579736</v>
      </c>
      <c r="T88" s="19">
        <f>SUM(T72:T82,T66,T60,T54,T48,T42,T36)</f>
        <v>217032.1436579736</v>
      </c>
      <c r="U88" s="19">
        <f>SUM(U72:U82,U66,U60,U54,U48,U42,U36)</f>
        <v>577032.1436579736</v>
      </c>
      <c r="V88" s="19">
        <f>SUM(V72:V82,V66,V60,V54,V48,V42,V36)</f>
        <v>217032.1436579736</v>
      </c>
      <c r="W88" s="19">
        <f>SUM(W72:W82,W66,W60,W54,W48,W42,W36)</f>
        <v>217032.1436579736</v>
      </c>
      <c r="X88" s="19">
        <f>SUM(X72:X82,X66,X60,X54,X48,X42,X36)</f>
        <v>433605.6260692588</v>
      </c>
      <c r="Y88" s="19">
        <f>SUM(Y72:Y82,Y66,Y60,Y54,Y48,Y42,Y36)</f>
        <v>195089.2865151165</v>
      </c>
      <c r="Z88" s="19">
        <f>SUMIF($B$13:$Y$13,"Yes",B88:Y88)</f>
        <v>3786394.207107799</v>
      </c>
      <c r="AA88" s="19">
        <f>SUM(B88:M88)</f>
        <v>3591304.920592682</v>
      </c>
      <c r="AB88" s="19">
        <f>SUM(B88:Y88)</f>
        <v>7182609.841185369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3770000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13750000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650000</v>
      </c>
    </row>
    <row r="100" spans="1:30" customHeight="1" ht="15.75">
      <c r="A100" s="18" t="s">
        <v>66</v>
      </c>
      <c r="B100" s="37">
        <f>Inputs!B48</f>
        <v>950000</v>
      </c>
    </row>
    <row r="101" spans="1:30" customHeight="1" ht="15.75">
      <c r="A101" s="1" t="s">
        <v>67</v>
      </c>
      <c r="B101" s="19">
        <f>SUM(B94:B100)</f>
        <v>20815000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10</v>
      </c>
      <c r="D8" s="16"/>
      <c r="E8" s="147" t="s">
        <v>90</v>
      </c>
      <c r="F8" s="149" t="s">
        <v>91</v>
      </c>
      <c r="G8" s="147"/>
      <c r="H8" s="147" t="s">
        <v>93</v>
      </c>
      <c r="I8" s="147" t="s">
        <v>93</v>
      </c>
      <c r="J8" s="148" t="s">
        <v>94</v>
      </c>
      <c r="K8" s="138"/>
      <c r="L8" s="16"/>
      <c r="M8" s="165">
        <v>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70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45</v>
      </c>
      <c r="D20" s="147"/>
      <c r="E20" s="16"/>
      <c r="F20" s="147" t="s">
        <v>93</v>
      </c>
      <c r="G20" s="16"/>
      <c r="H20" s="16"/>
      <c r="I20" s="147" t="s">
        <v>110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20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16000</v>
      </c>
    </row>
    <row r="31" spans="1:48">
      <c r="A31" s="5" t="s">
        <v>118</v>
      </c>
      <c r="B31" s="158">
        <v>7000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1200000</v>
      </c>
    </row>
    <row r="46" spans="1:48" customHeight="1" ht="30">
      <c r="A46" s="57" t="s">
        <v>132</v>
      </c>
      <c r="B46" s="161">
        <v>650000</v>
      </c>
    </row>
    <row r="47" spans="1:48" customHeight="1" ht="30">
      <c r="A47" s="57" t="s">
        <v>133</v>
      </c>
      <c r="B47" s="161">
        <v>450000</v>
      </c>
    </row>
    <row r="48" spans="1:48" customHeight="1" ht="30">
      <c r="A48" s="57" t="s">
        <v>134</v>
      </c>
      <c r="B48" s="161">
        <v>950000</v>
      </c>
    </row>
    <row r="49" spans="1:48" customHeight="1" ht="30">
      <c r="A49" s="57" t="s">
        <v>135</v>
      </c>
      <c r="B49" s="161">
        <v>45000</v>
      </c>
    </row>
    <row r="50" spans="1:48">
      <c r="A50" s="43"/>
      <c r="B50" s="36"/>
    </row>
    <row r="51" spans="1:48">
      <c r="A51" s="58" t="s">
        <v>136</v>
      </c>
      <c r="B51" s="161">
        <v>6000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147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147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147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147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147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15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300000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40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63982.31451854314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3493434.372712455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154000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360000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480000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43221</v>
      </c>
      <c r="D5" s="39">
        <f>IFERROR(DATE(YEAR(B5),MONTH(B5)+T5,DAY(B5)),"")</f>
        <v>43313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43313</v>
      </c>
      <c r="H5" s="16">
        <f>Inputs!C8</f>
        <v>10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1360.293095897503</v>
      </c>
      <c r="M5" s="30">
        <f>L5*H5</f>
        <v>13602.93095897503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285661.5501384757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31286.74120564257</v>
      </c>
      <c r="AB5" s="34">
        <f>H5*IFERROR(INDEX(Parameters!$A$3:$AI$17,MATCH(Calculations!A5,Parameters!$A$3:$A$17,0),MATCH(Parameters!$O$3,Parameters!$A$3:$AI$3,0)),AVERAGE(Parameters!$O$4:$O$17))*(1-Inputs!$B$25/100)</f>
        <v>96000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70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1610000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42000</v>
      </c>
      <c r="S14" s="63">
        <f>IFERROR(D14*INDEX(Parameters!$A$22:$P$29,MATCH(Calculations!$A14,Parameters!$A$22:$A$29,0),MATCH(Parameters!$N$22,Parameters!$A$22:$P$22,0)),"")</f>
        <v>49000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45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9000</v>
      </c>
      <c r="S15" s="64">
        <f>IFERROR(D15*INDEX(Parameters!$A$22:$P$29,MATCH(Calculations!$A15,Parameters!$A$22:$A$29,0),MATCH(Parameters!$N$22,Parameters!$A$22:$P$22,0)),"")</f>
        <v>13500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43058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43040</v>
      </c>
      <c r="F33" t="s">
        <v>153</v>
      </c>
      <c r="G33" s="128">
        <f>IF(Inputs!B79="","",DATE(YEAR(Inputs!B79),MONTH(Inputs!B79),DAY(Inputs!B79)))</f>
        <v>43027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43088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43070</v>
      </c>
      <c r="F34" t="s">
        <v>154</v>
      </c>
      <c r="G34" s="128">
        <f>IF(Inputs!B80="","",DATE(YEAR(Inputs!B80),MONTH(Inputs!B80),DAY(Inputs!B80)))</f>
        <v>43058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43119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43101</v>
      </c>
      <c r="F35" t="s">
        <v>156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43150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43132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43160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43209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43191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43221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43252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43300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43282</v>
      </c>
      <c r="F41" t="s">
        <v>220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43331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43313</v>
      </c>
      <c r="F42" t="s">
        <v>221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43362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43392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194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289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111</v>
      </c>
      <c r="B27" s="71" t="s">
        <v>289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289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289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111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305</v>
      </c>
      <c r="H52" s="12" t="s">
        <v>129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222</v>
      </c>
      <c r="E53" s="10" t="s">
        <v>181</v>
      </c>
      <c r="F53" s="10" t="s">
        <v>241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159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218</v>
      </c>
      <c r="J76" s="11" t="s">
        <v>339</v>
      </c>
      <c r="K76" s="11" t="s">
        <v>171</v>
      </c>
      <c r="AJ76" s="12"/>
    </row>
    <row r="77" spans="1:36">
      <c r="A77" t="s">
        <v>92</v>
      </c>
      <c r="B77" s="176">
        <v>0</v>
      </c>
      <c r="C77" s="12" t="s">
        <v>340</v>
      </c>
      <c r="E77" s="12" t="s">
        <v>93</v>
      </c>
      <c r="F77" s="12" t="s">
        <v>93</v>
      </c>
      <c r="G77" s="12" t="s">
        <v>110</v>
      </c>
      <c r="H77" s="12" t="s">
        <v>129</v>
      </c>
      <c r="I77" s="12" t="s">
        <v>341</v>
      </c>
      <c r="J77" s="136" t="s">
        <v>342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343</v>
      </c>
      <c r="D78" s="133"/>
      <c r="E78" s="12" t="s">
        <v>344</v>
      </c>
      <c r="F78" s="12" t="s">
        <v>345</v>
      </c>
      <c r="G78" s="12" t="s">
        <v>346</v>
      </c>
      <c r="H78" s="12" t="s">
        <v>306</v>
      </c>
      <c r="I78" s="12" t="s">
        <v>347</v>
      </c>
      <c r="J78" s="70" t="s">
        <v>348</v>
      </c>
      <c r="K78" s="12" t="s">
        <v>93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349</v>
      </c>
      <c r="F79" s="12" t="s">
        <v>350</v>
      </c>
      <c r="G79" s="12" t="s">
        <v>351</v>
      </c>
      <c r="I79" s="12" t="s">
        <v>159</v>
      </c>
      <c r="J79" s="70" t="s">
        <v>352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353</v>
      </c>
      <c r="F80" s="12" t="s">
        <v>354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355</v>
      </c>
      <c r="D81" s="12">
        <f>D80+1</f>
        <v>3</v>
      </c>
      <c r="J81" s="70" t="s">
        <v>356</v>
      </c>
      <c r="K81" s="12" t="s">
        <v>92</v>
      </c>
    </row>
    <row r="82" spans="1:36">
      <c r="B82" s="176">
        <v>40</v>
      </c>
      <c r="C82" s="12" t="s">
        <v>357</v>
      </c>
      <c r="D82" s="12">
        <f>D81+1</f>
        <v>4</v>
      </c>
      <c r="J82" s="70"/>
    </row>
    <row r="83" spans="1:36">
      <c r="B83" s="176">
        <v>50</v>
      </c>
      <c r="C83" s="12" t="s">
        <v>358</v>
      </c>
      <c r="D83" s="12">
        <f>D82+1</f>
        <v>5</v>
      </c>
    </row>
    <row r="84" spans="1:36">
      <c r="B84" s="176">
        <v>60</v>
      </c>
      <c r="C84" s="12" t="s">
        <v>359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