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<sst xmlns="http://schemas.openxmlformats.org/spreadsheetml/2006/main" uniqueCount="368">
  <si>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</si>
  <si>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</si>
  <si>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</si>
  <si>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</si>
  <si>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</si>
  <si>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</si>
  <si>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</si>
  <si>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</si>
  <si>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</si>
  <si>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</si>
  <si>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</si>
  <si>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</si>
  <si>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</si>
  <si>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</si>
  <si>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</si>
  <si>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</si>
  <si>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</si>
  <si>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</si>
  <si>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</si>
  <si>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</si>
  <si>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</si>
  <si>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</si>
  <si>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</si>
  <si>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</si>
  <si>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</si>
  <si>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</si>
  <si>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</si>
  <si>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</si>
  <si>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</si>
  <si>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</si>
  <si>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</si>
  <si>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</si>
  <si>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</si>
  <si>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</si>
  <si>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</si>
  <si>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</si>
  <si>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</si>
  <si>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</si>
  <si>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</si>
  <si>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</si>
  <si>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</si>
  <si>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</si>
  <si>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</si>
  <si>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</si>
  <si>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</si>
  <si>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</si>
  <si>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</si>
  <si>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</si>
  <si>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</si>
  <si>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</si>
  <si>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</si>
  <si>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</si>
  <si>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</si>
  <si>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</si>
  <si>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</si>
  <si>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</si>
  <si>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</si>
  <si>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</si>
  <si>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</si>
  <si>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</si>
  <si>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</si>
  <si>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</si>
  <si>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</si>
  <si>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</si>
  <si>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</si>
  <si>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</si>
  <si>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</si>
  <si>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</si>
  <si>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</si>
  <si>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</si>
  <si>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</si>
  <si>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</si>
  <si>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</si>
  <si>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</si>
  <si>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</si>
  <si>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</si>
  <si>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</si>
  <si>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</si>
  <si>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</si>
  <si>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</si>
  <si>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</si>
  <si>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</si>
  <si>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</si>
  <si>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</si>
  <si>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</si>
  <si>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</si>
  <si>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</si>
  <si>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</si>
  <si>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</si>
  <si>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</si>
  <si>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</si>
  <si>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No</t>
  </si>
  <si>
    <t>Yes</t>
  </si>
  <si>
    <t>November</t>
  </si>
  <si>
    <t>Wheat</t>
  </si>
  <si>
    <t>Shop_common variety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</si>
  <si>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</si>
  <si>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</si>
  <si>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</si>
  <si>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</si>
  <si>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</si>
  <si>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</si>
  <si>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</si>
  <si>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</si>
  <si>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</si>
  <si>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</si>
  <si>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</si>
  <si>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</si>
  <si>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</si>
  <si>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</si>
  <si>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</si>
  <si>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</si>
  <si>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</si>
  <si>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Sometimes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</si>
  <si>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</si>
  <si>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</si>
  <si>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</si>
  <si>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</si>
  <si>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</si>
  <si>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Bodaboda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</si>
  <si>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</si>
  <si>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</si>
  <si>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</si>
  <si>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</si>
  <si>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</si>
  <si>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</si>
  <si>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</si>
  <si>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</si>
  <si>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</si>
  <si>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</si>
  <si>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</si>
  <si>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</si>
  <si>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</si>
  <si>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</si>
  <si>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</si>
  <si>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</si>
  <si>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</si>
  <si>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</si>
  <si>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</si>
  <si>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</si>
  <si>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</si>
  <si>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</si>
  <si>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</si>
  <si>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</si>
  <si>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</si>
  <si>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</si>
  <si>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10/31/2017</t>
  </si>
  <si>
    <t>Mkopa</t>
  </si>
  <si>
    <t>No arrears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</si>
  <si>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</si>
  <si>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</si>
  <si>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</si>
  <si>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</si>
  <si>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</si>
  <si>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</si>
  <si>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</si>
  <si>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</si>
  <si>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</si>
  <si>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</si>
  <si>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</si>
  <si>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</si>
  <si>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2017/10/31</t>
  </si>
  <si>
    <t>Loan terms</t>
  </si>
  <si>
    <t>Expected disbursement date</t>
  </si>
  <si>
    <t>Expected first repayment date</t>
  </si>
  <si>
    <t>2017/11/30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</si>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</sst>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Chicken_broilers, Chicken: sale of ex layers</v>
      </c>
    </row>
    <row r="8" spans="1:7">
      <c r="B8" s="1" t="s">
        <v>4</v>
      </c>
      <c r="C8" t="str">
        <f>IF(Inputs!B29="","None",Inputs!B29)</f>
        <v>Bodaboda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0.3065330985792316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0.1201372549019608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12777.77777777778</v>
      </c>
    </row>
    <row r="17" spans="1:7">
      <c r="B17" s="1" t="s">
        <v>11</v>
      </c>
      <c r="C17" s="36">
        <f>SUM(Output!B6:M6)</f>
        <v>277967.4924275066</v>
      </c>
    </row>
    <row r="18" spans="1:7">
      <c r="B18" s="1" t="s">
        <v>12</v>
      </c>
      <c r="C18" s="36">
        <f>MIN(Output!B6:M6)</f>
        <v>-38380.63846819481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155148.9385547274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10724.8</v>
      </c>
    </row>
    <row r="25" spans="1:7">
      <c r="B25" s="1" t="s">
        <v>18</v>
      </c>
      <c r="C25" s="36">
        <f>MAX(Inputs!A56:A60)</f>
        <v>53624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13507.36153180519</v>
      </c>
      <c r="C6" s="51">
        <f>C30-C88</f>
        <v>-38380.63846819481</v>
      </c>
      <c r="D6" s="51">
        <f>D30-D88</f>
        <v>-1930.638468194811</v>
      </c>
      <c r="E6" s="51">
        <f>E30-E88</f>
        <v>1019.361531805189</v>
      </c>
      <c r="F6" s="51">
        <f>F30-F88</f>
        <v>9619.361531805189</v>
      </c>
      <c r="G6" s="51">
        <f>G30-G88</f>
        <v>155148.9385547274</v>
      </c>
      <c r="H6" s="51">
        <f>H30-H88</f>
        <v>13507.36153180519</v>
      </c>
      <c r="I6" s="51">
        <f>I30-I88</f>
        <v>-38380.63846819481</v>
      </c>
      <c r="J6" s="51">
        <f>J30-J88</f>
        <v>-1930.638468194811</v>
      </c>
      <c r="K6" s="51">
        <f>K30-K88</f>
        <v>1019.361531805189</v>
      </c>
      <c r="L6" s="51">
        <f>L30-L88</f>
        <v>9619.361531805189</v>
      </c>
      <c r="M6" s="51">
        <f>M30-M88</f>
        <v>155148.9385547274</v>
      </c>
      <c r="N6" s="51">
        <f>N30-N88</f>
        <v>13507.36153180519</v>
      </c>
      <c r="O6" s="51">
        <f>O30-O88</f>
        <v>-38380.63846819481</v>
      </c>
      <c r="P6" s="51">
        <f>P30-P88</f>
        <v>-1930.638468194811</v>
      </c>
      <c r="Q6" s="51">
        <f>Q30-Q88</f>
        <v>1019.361531805189</v>
      </c>
      <c r="R6" s="51">
        <f>R30-R88</f>
        <v>9619.361531805189</v>
      </c>
      <c r="S6" s="51">
        <f>S30-S88</f>
        <v>155148.9385547274</v>
      </c>
      <c r="T6" s="51">
        <f>T30-T88</f>
        <v>13507.36153180519</v>
      </c>
      <c r="U6" s="51">
        <f>U30-U88</f>
        <v>-38380.63846819481</v>
      </c>
      <c r="V6" s="51">
        <f>V30-V88</f>
        <v>-1930.638468194811</v>
      </c>
      <c r="W6" s="51">
        <f>W30-W88</f>
        <v>1019.361531805189</v>
      </c>
      <c r="X6" s="51">
        <f>X30-X88</f>
        <v>9619.361531805189</v>
      </c>
      <c r="Y6" s="51">
        <f>Y30-Y88</f>
        <v>155148.9385547274</v>
      </c>
      <c r="Z6" s="51">
        <f>SUMIF($B$13:$Y$13,"Yes",B6:Y6)</f>
        <v>291474.8539593118</v>
      </c>
      <c r="AA6" s="51">
        <f>AA30-AA88</f>
        <v>277967.4924275069</v>
      </c>
      <c r="AB6" s="51">
        <f>AB30-AB88</f>
        <v>555934.9848550144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12520</v>
      </c>
      <c r="I7" s="80">
        <f>IF(ISERROR(VLOOKUP(MONTH(I5),Inputs!$D$66:$D$71,1,0)),"",INDEX(Inputs!$B$66:$B$71,MATCH(MONTH(Output!I5),Inputs!$D$66:$D$71,0))-INDEX(Inputs!$C$66:$C$71,MATCH(MONTH(Output!I5),Inputs!$D$66:$D$71,0)))</f>
        <v>5203</v>
      </c>
      <c r="J7" s="80">
        <f>IF(ISERROR(VLOOKUP(MONTH(J5),Inputs!$D$66:$D$71,1,0)),"",INDEX(Inputs!$B$66:$B$71,MATCH(MONTH(Output!J5),Inputs!$D$66:$D$71,0))-INDEX(Inputs!$C$66:$C$71,MATCH(MONTH(Output!J5),Inputs!$D$66:$D$71,0)))</f>
        <v>1140</v>
      </c>
      <c r="K7" s="80">
        <f>IF(ISERROR(VLOOKUP(MONTH(K5),Inputs!$D$66:$D$71,1,0)),"",INDEX(Inputs!$B$66:$B$71,MATCH(MONTH(Output!K5),Inputs!$D$66:$D$71,0))-INDEX(Inputs!$C$66:$C$71,MATCH(MONTH(Output!K5),Inputs!$D$66:$D$71,0)))</f>
        <v>12540</v>
      </c>
      <c r="L7" s="80">
        <f>IF(ISERROR(VLOOKUP(MONTH(L5),Inputs!$D$66:$D$71,1,0)),"",INDEX(Inputs!$B$66:$B$71,MATCH(MONTH(Output!L5),Inputs!$D$66:$D$71,0))-INDEX(Inputs!$C$66:$C$71,MATCH(MONTH(Output!L5),Inputs!$D$66:$D$71,0)))</f>
        <v>1059</v>
      </c>
      <c r="M7" s="80">
        <f>IF(ISERROR(VLOOKUP(MONTH(M5),Inputs!$D$66:$D$71,1,0)),"",INDEX(Inputs!$B$66:$B$71,MATCH(MONTH(Output!M5),Inputs!$D$66:$D$71,0))-INDEX(Inputs!$C$66:$C$71,MATCH(MONTH(Output!M5),Inputs!$D$66:$D$71,0)))</f>
        <v>2303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12520</v>
      </c>
      <c r="U7" s="80">
        <f>IF(ISERROR(VLOOKUP(MONTH(U5),Inputs!$D$66:$D$71,1,0)),"",INDEX(Inputs!$B$66:$B$71,MATCH(MONTH(Output!U5),Inputs!$D$66:$D$71,0))-INDEX(Inputs!$C$66:$C$71,MATCH(MONTH(Output!U5),Inputs!$D$66:$D$71,0)))</f>
        <v>5203</v>
      </c>
      <c r="V7" s="80">
        <f>IF(ISERROR(VLOOKUP(MONTH(V5),Inputs!$D$66:$D$71,1,0)),"",INDEX(Inputs!$B$66:$B$71,MATCH(MONTH(Output!V5),Inputs!$D$66:$D$71,0))-INDEX(Inputs!$C$66:$C$71,MATCH(MONTH(Output!V5),Inputs!$D$66:$D$71,0)))</f>
        <v>1140</v>
      </c>
      <c r="W7" s="80">
        <f>IF(ISERROR(VLOOKUP(MONTH(W5),Inputs!$D$66:$D$71,1,0)),"",INDEX(Inputs!$B$66:$B$71,MATCH(MONTH(Output!W5),Inputs!$D$66:$D$71,0))-INDEX(Inputs!$C$66:$C$71,MATCH(MONTH(Output!W5),Inputs!$D$66:$D$71,0)))</f>
        <v>12540</v>
      </c>
      <c r="X7" s="80">
        <f>IF(ISERROR(VLOOKUP(MONTH(X5),Inputs!$D$66:$D$71,1,0)),"",INDEX(Inputs!$B$66:$B$71,MATCH(MONTH(Output!X5),Inputs!$D$66:$D$71,0))-INDEX(Inputs!$C$66:$C$71,MATCH(MONTH(Output!X5),Inputs!$D$66:$D$71,0)))</f>
        <v>1059</v>
      </c>
      <c r="Y7" s="80">
        <f>IF(ISERROR(VLOOKUP(MONTH(Y5),Inputs!$D$66:$D$71,1,0)),"",INDEX(Inputs!$B$66:$B$71,MATCH(MONTH(Output!Y5),Inputs!$D$66:$D$71,0))-INDEX(Inputs!$C$66:$C$71,MATCH(MONTH(Output!Y5),Inputs!$D$66:$D$71,0)))</f>
        <v>2303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1666.666666666667</v>
      </c>
      <c r="D10" s="37">
        <f>SUMPRODUCT((Calculations!$D$33:$D$84=Output!D5)+0,Calculations!$C$33:$C$84)</f>
        <v>1666.666666666667</v>
      </c>
      <c r="E10" s="37">
        <f>SUMPRODUCT((Calculations!$D$33:$D$84=Output!E5)+0,Calculations!$C$33:$C$84)</f>
        <v>1666.666666666667</v>
      </c>
      <c r="F10" s="37">
        <f>SUMPRODUCT((Calculations!$D$33:$D$84=Output!F5)+0,Calculations!$C$33:$C$84)</f>
        <v>12777.77777777778</v>
      </c>
      <c r="G10" s="37">
        <f>SUMPRODUCT((Calculations!$D$33:$D$84=Output!G5)+0,Calculations!$C$33:$C$84)</f>
        <v>12777.77777777778</v>
      </c>
      <c r="H10" s="37">
        <f>SUMPRODUCT((Calculations!$D$33:$D$84=Output!H5)+0,Calculations!$C$33:$C$84)</f>
        <v>12777.77777777778</v>
      </c>
      <c r="I10" s="37">
        <f>SUMPRODUCT((Calculations!$D$33:$D$84=Output!I5)+0,Calculations!$C$33:$C$84)</f>
        <v>12777.77777777778</v>
      </c>
      <c r="J10" s="37">
        <f>SUMPRODUCT((Calculations!$D$33:$D$84=Output!J5)+0,Calculations!$C$33:$C$84)</f>
        <v>12777.77777777778</v>
      </c>
      <c r="K10" s="37">
        <f>SUMPRODUCT((Calculations!$D$33:$D$84=Output!K5)+0,Calculations!$C$33:$C$84)</f>
        <v>12777.77777777778</v>
      </c>
      <c r="L10" s="37">
        <f>SUMPRODUCT((Calculations!$D$33:$D$84=Output!L5)+0,Calculations!$C$33:$C$84)</f>
        <v>12777.77777777778</v>
      </c>
      <c r="M10" s="37">
        <f>SUMPRODUCT((Calculations!$D$33:$D$84=Output!M5)+0,Calculations!$C$33:$C$84)</f>
        <v>12777.77777777778</v>
      </c>
      <c r="N10" s="37">
        <f>SUMPRODUCT((Calculations!$D$33:$D$84=Output!N5)+0,Calculations!$C$33:$C$84)</f>
        <v>12777.77777777778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107222.2222222222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113507.3615318052</v>
      </c>
      <c r="C11" s="80">
        <f>C6+C9-C10</f>
        <v>-40047.30513486148</v>
      </c>
      <c r="D11" s="80">
        <f>D6+D9-D10</f>
        <v>-3597.305134861478</v>
      </c>
      <c r="E11" s="80">
        <f>E6+E9-E10</f>
        <v>-647.3051348614779</v>
      </c>
      <c r="F11" s="80">
        <f>F6+F9-F10</f>
        <v>-3158.416245972589</v>
      </c>
      <c r="G11" s="80">
        <f>G6+G9-G10</f>
        <v>142371.1607769496</v>
      </c>
      <c r="H11" s="80">
        <f>H6+H9-H10</f>
        <v>729.5837540274115</v>
      </c>
      <c r="I11" s="80">
        <f>I6+I9-I10</f>
        <v>-51158.41624597259</v>
      </c>
      <c r="J11" s="80">
        <f>J6+J9-J10</f>
        <v>-14708.41624597259</v>
      </c>
      <c r="K11" s="80">
        <f>K6+K9-K10</f>
        <v>-11758.41624597259</v>
      </c>
      <c r="L11" s="80">
        <f>L6+L9-L10</f>
        <v>-3158.416245972589</v>
      </c>
      <c r="M11" s="80">
        <f>M6+M9-M10</f>
        <v>142371.1607769496</v>
      </c>
      <c r="N11" s="80">
        <f>N6+N9-N10</f>
        <v>729.5837540274115</v>
      </c>
      <c r="O11" s="80">
        <f>O6+O9-O10</f>
        <v>-38380.63846819481</v>
      </c>
      <c r="P11" s="80">
        <f>P6+P9-P10</f>
        <v>-1930.638468194811</v>
      </c>
      <c r="Q11" s="80">
        <f>Q6+Q9-Q10</f>
        <v>1019.361531805189</v>
      </c>
      <c r="R11" s="80">
        <f>R6+R9-R10</f>
        <v>9619.361531805189</v>
      </c>
      <c r="S11" s="80">
        <f>S6+S9-S10</f>
        <v>155148.9385547274</v>
      </c>
      <c r="T11" s="80">
        <f>T6+T9-T10</f>
        <v>13507.36153180519</v>
      </c>
      <c r="U11" s="80">
        <f>U6+U9-U10</f>
        <v>-38380.63846819481</v>
      </c>
      <c r="V11" s="80">
        <f>V6+V9-V10</f>
        <v>-1930.638468194811</v>
      </c>
      <c r="W11" s="80">
        <f>W6+W9-W10</f>
        <v>1019.361531805189</v>
      </c>
      <c r="X11" s="80">
        <f>X6+X9-X10</f>
        <v>9619.361531805189</v>
      </c>
      <c r="Y11" s="80">
        <f>Y6+Y9-Y10</f>
        <v>155148.9385547274</v>
      </c>
      <c r="Z11" s="85">
        <f>SUMIF($B$13:$Y$13,"Yes",B11:Y11)</f>
        <v>271474.8539593118</v>
      </c>
      <c r="AA11" s="80">
        <f>SUM(B11:M11)</f>
        <v>270745.2702052844</v>
      </c>
      <c r="AB11" s="46">
        <f>SUM(B11:Y11)</f>
        <v>535934.9848550132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0.02218473798272137</v>
      </c>
      <c r="D12" s="82">
        <f>IF(D13="Yes",IF(SUM($B$10:D10)/(SUM($B$6:D6)+SUM($B$9:D9))&lt;0,999.99,SUM($B$10:D10)/(SUM($B$6:D6)+SUM($B$9:D9))),"")</f>
        <v>0.04553977650250035</v>
      </c>
      <c r="E12" s="82">
        <f>IF(E13="Yes",IF(SUM($B$10:E10)/(SUM($B$6:E6)+SUM($B$9:E9))&lt;0,999.99,SUM($B$10:E10)/(SUM($B$6:E6)+SUM($B$9:E9))),"")</f>
        <v>0.06737142011420313</v>
      </c>
      <c r="F12" s="82">
        <f>IF(F13="Yes",IF(SUM($B$10:F10)/(SUM($B$6:F6)+SUM($B$9:F9))&lt;0,999.99,SUM($B$10:F10)/(SUM($B$6:F6)+SUM($B$9:F9))),"")</f>
        <v>0.212057238206877</v>
      </c>
      <c r="G12" s="82">
        <f>IF(G13="Yes",IF(SUM($B$10:G10)/(SUM($B$6:G6)+SUM($B$9:G9))&lt;0,999.99,SUM($B$10:G10)/(SUM($B$6:G6)+SUM($B$9:G9))),"")</f>
        <v>0.127856207962469</v>
      </c>
      <c r="H12" s="82">
        <f>IF(H13="Yes",IF(SUM($B$10:H10)/(SUM($B$6:H6)+SUM($B$9:H9))&lt;0,999.99,SUM($B$10:H10)/(SUM($B$6:H6)+SUM($B$9:H9))),"")</f>
        <v>0.1716232057447401</v>
      </c>
      <c r="I12" s="82">
        <f>IF(I13="Yes",IF(SUM($B$10:I10)/(SUM($B$6:I6)+SUM($B$9:I9))&lt;0,999.99,SUM($B$10:I10)/(SUM($B$6:I6)+SUM($B$9:I9))),"")</f>
        <v>0.26206617219835</v>
      </c>
      <c r="J12" s="82">
        <f>IF(J13="Yes",IF(SUM($B$10:J10)/(SUM($B$6:J6)+SUM($B$9:J9))&lt;0,999.99,SUM($B$10:J10)/(SUM($B$6:J6)+SUM($B$9:J9))),"")</f>
        <v>0.3246721831484843</v>
      </c>
      <c r="K12" s="82">
        <f>IF(K13="Yes",IF(SUM($B$10:K10)/(SUM($B$6:K6)+SUM($B$9:K9))&lt;0,999.99,SUM($B$10:K10)/(SUM($B$6:K6)+SUM($B$9:K9))),"")</f>
        <v>0.38305335855145</v>
      </c>
      <c r="L12" s="82">
        <f>IF(L13="Yes",IF(SUM($B$10:L10)/(SUM($B$6:L6)+SUM($B$9:L9))&lt;0,999.99,SUM($B$10:L10)/(SUM($B$6:L6)+SUM($B$9:L9))),"")</f>
        <v>0.4238625680084459</v>
      </c>
      <c r="M12" s="82">
        <f>IF(M13="Yes",IF(SUM($B$10:M10)/(SUM($B$6:M6)+SUM($B$9:M9))&lt;0,999.99,SUM($B$10:M10)/(SUM($B$6:M6)+SUM($B$9:M9))),"")</f>
        <v>0.2836810687966432</v>
      </c>
      <c r="N12" s="82">
        <f>IF(N13="Yes",IF(SUM($B$10:N10)/(SUM($B$6:N6)+SUM($B$9:N9))&lt;0,999.99,SUM($B$10:N10)/(SUM($B$6:N6)+SUM($B$9:N9))),"")</f>
        <v>0.3065330985792316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172529.5770229222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172529.5770229222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172529.5770229222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172529.5770229222</v>
      </c>
      <c r="Z18" s="36">
        <f>SUMIF($B$13:$Y$13,"Yes",B18:Y18)</f>
        <v>345059.1540458443</v>
      </c>
      <c r="AA18" s="36">
        <f>SUM(B18:M18)</f>
        <v>345059.1540458443</v>
      </c>
      <c r="AB18" s="36">
        <f>SUM(B18:Y18)</f>
        <v>690118.3080916887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52800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243750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9200</v>
      </c>
      <c r="C25" s="36">
        <f>IFERROR(Calculations!$P15/12,"")</f>
        <v>9200</v>
      </c>
      <c r="D25" s="36">
        <f>IFERROR(Calculations!$P15/12,"")</f>
        <v>9200</v>
      </c>
      <c r="E25" s="36">
        <f>IFERROR(Calculations!$P15/12,"")</f>
        <v>9200</v>
      </c>
      <c r="F25" s="36">
        <f>IFERROR(Calculations!$P15/12,"")</f>
        <v>9200</v>
      </c>
      <c r="G25" s="36">
        <f>IFERROR(Calculations!$P15/12,"")</f>
        <v>9200</v>
      </c>
      <c r="H25" s="36">
        <f>IFERROR(Calculations!$P15/12,"")</f>
        <v>9200</v>
      </c>
      <c r="I25" s="36">
        <f>IFERROR(Calculations!$P15/12,"")</f>
        <v>9200</v>
      </c>
      <c r="J25" s="36">
        <f>IFERROR(Calculations!$P15/12,"")</f>
        <v>9200</v>
      </c>
      <c r="K25" s="36">
        <f>IFERROR(Calculations!$P15/12,"")</f>
        <v>9200</v>
      </c>
      <c r="L25" s="36">
        <f>IFERROR(Calculations!$P15/12,"")</f>
        <v>9200</v>
      </c>
      <c r="M25" s="36">
        <f>IFERROR(Calculations!$P15/12,"")</f>
        <v>9200</v>
      </c>
      <c r="N25" s="36">
        <f>IFERROR(Calculations!$P15/12,"")</f>
        <v>9200</v>
      </c>
      <c r="O25" s="36">
        <f>IFERROR(Calculations!$P15/12,"")</f>
        <v>9200</v>
      </c>
      <c r="P25" s="36">
        <f>IFERROR(Calculations!$P15/12,"")</f>
        <v>9200</v>
      </c>
      <c r="Q25" s="36">
        <f>IFERROR(Calculations!$P15/12,"")</f>
        <v>9200</v>
      </c>
      <c r="R25" s="36">
        <f>IFERROR(Calculations!$P15/12,"")</f>
        <v>9200</v>
      </c>
      <c r="S25" s="36">
        <f>IFERROR(Calculations!$P15/12,"")</f>
        <v>9200</v>
      </c>
      <c r="T25" s="36">
        <f>IFERROR(Calculations!$P15/12,"")</f>
        <v>9200</v>
      </c>
      <c r="U25" s="36">
        <f>IFERROR(Calculations!$P15/12,"")</f>
        <v>9200</v>
      </c>
      <c r="V25" s="36">
        <f>IFERROR(Calculations!$P15/12,"")</f>
        <v>9200</v>
      </c>
      <c r="W25" s="36">
        <f>IFERROR(Calculations!$P15/12,"")</f>
        <v>9200</v>
      </c>
      <c r="X25" s="36">
        <f>IFERROR(Calculations!$P15/12,"")</f>
        <v>9200</v>
      </c>
      <c r="Y25" s="36">
        <f>IFERROR(Calculations!$P15/12,"")</f>
        <v>9200</v>
      </c>
      <c r="Z25" s="36">
        <f>SUMIF($B$13:$Y$13,"Yes",B25:Y25)</f>
        <v>119600</v>
      </c>
      <c r="AA25" s="36">
        <f>SUM(B25:M25)</f>
        <v>110400</v>
      </c>
      <c r="AB25" s="46">
        <f>SUM(B25:Y25)</f>
        <v>220800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52950</v>
      </c>
      <c r="C30" s="19">
        <f>SUM(C18:C29)</f>
        <v>52950</v>
      </c>
      <c r="D30" s="19">
        <f>SUM(D18:D29)</f>
        <v>52950</v>
      </c>
      <c r="E30" s="19">
        <f>SUM(E18:E29)</f>
        <v>52950</v>
      </c>
      <c r="F30" s="19">
        <f>SUM(F18:F29)</f>
        <v>52950</v>
      </c>
      <c r="G30" s="19">
        <f>SUM(G18:G29)</f>
        <v>225479.5770229222</v>
      </c>
      <c r="H30" s="19">
        <f>SUM(H18:H29)</f>
        <v>52950</v>
      </c>
      <c r="I30" s="19">
        <f>SUM(I18:I29)</f>
        <v>52950</v>
      </c>
      <c r="J30" s="19">
        <f>SUM(J18:J29)</f>
        <v>52950</v>
      </c>
      <c r="K30" s="19">
        <f>SUM(K18:K29)</f>
        <v>52950</v>
      </c>
      <c r="L30" s="19">
        <f>SUM(L18:L29)</f>
        <v>52950</v>
      </c>
      <c r="M30" s="19">
        <f>SUM(M18:M29)</f>
        <v>225479.5770229222</v>
      </c>
      <c r="N30" s="19">
        <f>SUM(N18:N29)</f>
        <v>52950</v>
      </c>
      <c r="O30" s="19">
        <f>SUM(O18:O29)</f>
        <v>52950</v>
      </c>
      <c r="P30" s="19">
        <f>SUM(P18:P29)</f>
        <v>52950</v>
      </c>
      <c r="Q30" s="19">
        <f>SUM(Q18:Q29)</f>
        <v>52950</v>
      </c>
      <c r="R30" s="19">
        <f>SUM(R18:R29)</f>
        <v>52950</v>
      </c>
      <c r="S30" s="19">
        <f>SUM(S18:S29)</f>
        <v>225479.5770229222</v>
      </c>
      <c r="T30" s="19">
        <f>SUM(T18:T29)</f>
        <v>52950</v>
      </c>
      <c r="U30" s="19">
        <f>SUM(U18:U29)</f>
        <v>52950</v>
      </c>
      <c r="V30" s="19">
        <f>SUM(V18:V29)</f>
        <v>52950</v>
      </c>
      <c r="W30" s="19">
        <f>SUM(W18:W29)</f>
        <v>52950</v>
      </c>
      <c r="X30" s="19">
        <f>SUM(X18:X29)</f>
        <v>52950</v>
      </c>
      <c r="Y30" s="19">
        <f>SUM(Y18:Y29)</f>
        <v>225479.5770229222</v>
      </c>
      <c r="Z30" s="19">
        <f>SUMIF($B$13:$Y$13,"Yes",B30:Y30)</f>
        <v>1033409.154045844</v>
      </c>
      <c r="AA30" s="19">
        <f>SUM(B30:M30)</f>
        <v>980459.1540458445</v>
      </c>
      <c r="AB30" s="19">
        <f>SUM(B30:Y30)</f>
        <v>1960918.308091689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48000</v>
      </c>
      <c r="D42" s="36">
        <f>P42</f>
        <v>11550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48000</v>
      </c>
      <c r="J42" s="36">
        <f>V42</f>
        <v>11550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48000</v>
      </c>
      <c r="P42" s="36">
        <f>SUM(P43:P47)</f>
        <v>11550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48000</v>
      </c>
      <c r="V42" s="36">
        <f>SUM(V43:V47)</f>
        <v>11550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119100</v>
      </c>
      <c r="AA42" s="36">
        <f>SUM(B42:M42)</f>
        <v>119100</v>
      </c>
      <c r="AB42" s="36">
        <f>SUM(B42:Y42)</f>
        <v>238200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48000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48000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48000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48000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 t="str">
        <f>Calculations!$A$5</f>
        <v>Wheat</v>
      </c>
      <c r="B44" s="36">
        <f>N44</f>
        <v>0</v>
      </c>
      <c r="C44" s="36">
        <f>O44</f>
        <v>0</v>
      </c>
      <c r="D44" s="36">
        <f>P44</f>
        <v>11550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11550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11550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11550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23100</v>
      </c>
      <c r="AA44" s="36">
        <f>SUM(B44:M44)</f>
        <v>23100</v>
      </c>
      <c r="AB44" s="36">
        <f>SUM(B44:Y44)</f>
        <v>46200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8600</v>
      </c>
      <c r="F48" s="36">
        <f>R48</f>
        <v>0</v>
      </c>
      <c r="G48" s="36">
        <f>S48</f>
        <v>27000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8600</v>
      </c>
      <c r="L48" s="36">
        <f>X48</f>
        <v>0</v>
      </c>
      <c r="M48" s="36">
        <f>Y48</f>
        <v>27000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8600</v>
      </c>
      <c r="R48" s="46">
        <f>SUM(R49:R53)</f>
        <v>0</v>
      </c>
      <c r="S48" s="46">
        <f>SUM(S49:S53)</f>
        <v>27000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8600</v>
      </c>
      <c r="X48" s="46">
        <f>SUM(X49:X53)</f>
        <v>0</v>
      </c>
      <c r="Y48" s="46">
        <f>SUM(Y49:Y53)</f>
        <v>27000</v>
      </c>
      <c r="Z48" s="46">
        <f>SUMIF($B$13:$Y$13,"Yes",B48:Y48)</f>
        <v>71200</v>
      </c>
      <c r="AA48" s="46">
        <f>SUM(B48:M48)</f>
        <v>71200</v>
      </c>
      <c r="AB48" s="46">
        <f>SUM(B48:Y48)</f>
        <v>142400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8600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8600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8600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8600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27000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27000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27000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27000</v>
      </c>
      <c r="Z50" s="46">
        <f>SUMIF($B$13:$Y$13,"Yes",B50:Y50)</f>
        <v>54000</v>
      </c>
      <c r="AA50" s="46">
        <f>SUM(B50:M50)</f>
        <v>54000</v>
      </c>
      <c r="AB50" s="46">
        <f>SUM(B50:Y50)</f>
        <v>108000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6075</v>
      </c>
      <c r="C66" s="36">
        <f>O66</f>
        <v>9963</v>
      </c>
      <c r="D66" s="36">
        <f>P66</f>
        <v>9963</v>
      </c>
      <c r="E66" s="36">
        <f>Q66</f>
        <v>9963</v>
      </c>
      <c r="F66" s="36">
        <f>R66</f>
        <v>9963</v>
      </c>
      <c r="G66" s="36">
        <f>S66</f>
        <v>9963</v>
      </c>
      <c r="H66" s="36">
        <f>T66</f>
        <v>6075</v>
      </c>
      <c r="I66" s="36">
        <f>U66</f>
        <v>9963</v>
      </c>
      <c r="J66" s="36">
        <f>V66</f>
        <v>9963</v>
      </c>
      <c r="K66" s="36">
        <f>W66</f>
        <v>9963</v>
      </c>
      <c r="L66" s="36">
        <f>X66</f>
        <v>9963</v>
      </c>
      <c r="M66" s="36">
        <f>Y66</f>
        <v>9963</v>
      </c>
      <c r="N66" s="46">
        <f>SUM(N67:N71)</f>
        <v>6075</v>
      </c>
      <c r="O66" s="46">
        <f>SUM(O67:O71)</f>
        <v>9963</v>
      </c>
      <c r="P66" s="46">
        <f>SUM(P67:P71)</f>
        <v>9963</v>
      </c>
      <c r="Q66" s="46">
        <f>SUM(Q67:Q71)</f>
        <v>9963</v>
      </c>
      <c r="R66" s="46">
        <f>SUM(R67:R71)</f>
        <v>9963</v>
      </c>
      <c r="S66" s="46">
        <f>SUM(S67:S71)</f>
        <v>9963</v>
      </c>
      <c r="T66" s="46">
        <f>SUM(T67:T71)</f>
        <v>6075</v>
      </c>
      <c r="U66" s="46">
        <f>SUM(U67:U71)</f>
        <v>9963</v>
      </c>
      <c r="V66" s="46">
        <f>SUM(V67:V71)</f>
        <v>9963</v>
      </c>
      <c r="W66" s="46">
        <f>SUM(W67:W71)</f>
        <v>9963</v>
      </c>
      <c r="X66" s="46">
        <f>SUM(X67:X71)</f>
        <v>9963</v>
      </c>
      <c r="Y66" s="46">
        <f>SUM(Y67:Y71)</f>
        <v>9963</v>
      </c>
      <c r="Z66" s="46">
        <f>SUMIF($B$13:$Y$13,"Yes",B66:Y66)</f>
        <v>117855</v>
      </c>
      <c r="AA66" s="46">
        <f>SUM(B66:M66)</f>
        <v>111780</v>
      </c>
      <c r="AB66" s="46">
        <f>SUM(B66:Y66)</f>
        <v>223560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3888</v>
      </c>
      <c r="D67" s="36">
        <f>P67</f>
        <v>3888</v>
      </c>
      <c r="E67" s="36">
        <f>Q67</f>
        <v>3888</v>
      </c>
      <c r="F67" s="36">
        <f>R67</f>
        <v>3888</v>
      </c>
      <c r="G67" s="36">
        <f>S67</f>
        <v>3888</v>
      </c>
      <c r="H67" s="36">
        <f>T67</f>
        <v>0</v>
      </c>
      <c r="I67" s="36">
        <f>U67</f>
        <v>3888</v>
      </c>
      <c r="J67" s="36">
        <f>V67</f>
        <v>3888</v>
      </c>
      <c r="K67" s="36">
        <f>W67</f>
        <v>3888</v>
      </c>
      <c r="L67" s="36">
        <f>X67</f>
        <v>3888</v>
      </c>
      <c r="M67" s="36">
        <f>Y67</f>
        <v>3888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3888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3888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3888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3888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3888</v>
      </c>
      <c r="Z67" s="46">
        <f>SUMIF($B$13:$Y$13,"Yes",B67:Y67)</f>
        <v>38880</v>
      </c>
      <c r="AA67" s="46">
        <f>SUM(B67:M67)</f>
        <v>38880</v>
      </c>
      <c r="AB67" s="46">
        <f>SUM(B67:Y67)</f>
        <v>77760</v>
      </c>
    </row>
    <row r="68" spans="1:30" hidden="true" outlineLevel="1">
      <c r="A68" s="181" t="str">
        <f>Calculations!$A$5</f>
        <v>Wheat</v>
      </c>
      <c r="B68" s="36">
        <f>N68</f>
        <v>6075</v>
      </c>
      <c r="C68" s="36">
        <f>O68</f>
        <v>6075</v>
      </c>
      <c r="D68" s="36">
        <f>P68</f>
        <v>6075</v>
      </c>
      <c r="E68" s="36">
        <f>Q68</f>
        <v>6075</v>
      </c>
      <c r="F68" s="36">
        <f>R68</f>
        <v>6075</v>
      </c>
      <c r="G68" s="36">
        <f>S68</f>
        <v>6075</v>
      </c>
      <c r="H68" s="36">
        <f>T68</f>
        <v>6075</v>
      </c>
      <c r="I68" s="36">
        <f>U68</f>
        <v>6075</v>
      </c>
      <c r="J68" s="36">
        <f>V68</f>
        <v>6075</v>
      </c>
      <c r="K68" s="36">
        <f>W68</f>
        <v>6075</v>
      </c>
      <c r="L68" s="36">
        <f>X68</f>
        <v>6075</v>
      </c>
      <c r="M68" s="36">
        <f>Y68</f>
        <v>6075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6075</v>
      </c>
      <c r="Z68" s="46">
        <f>SUMIF($B$13:$Y$13,"Yes",B68:Y68)</f>
        <v>78975</v>
      </c>
      <c r="AA68" s="46">
        <f>SUM(B68:M68)</f>
        <v>72900</v>
      </c>
      <c r="AB68" s="46">
        <f>SUM(B68:Y68)</f>
        <v>145800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9125</v>
      </c>
      <c r="C74" s="46">
        <f>SUM(Calculations!$Q$14:$Q$16)/12</f>
        <v>9125</v>
      </c>
      <c r="D74" s="46">
        <f>SUM(Calculations!$Q$14:$Q$16)/12</f>
        <v>9125</v>
      </c>
      <c r="E74" s="46">
        <f>SUM(Calculations!$Q$14:$Q$16)/12</f>
        <v>9125</v>
      </c>
      <c r="F74" s="46">
        <f>SUM(Calculations!$Q$14:$Q$16)/12</f>
        <v>9125</v>
      </c>
      <c r="G74" s="46">
        <f>SUM(Calculations!$Q$14:$Q$16)/12</f>
        <v>9125</v>
      </c>
      <c r="H74" s="46">
        <f>SUM(Calculations!$Q$14:$Q$16)/12</f>
        <v>9125</v>
      </c>
      <c r="I74" s="46">
        <f>SUM(Calculations!$Q$14:$Q$16)/12</f>
        <v>9125</v>
      </c>
      <c r="J74" s="46">
        <f>SUM(Calculations!$Q$14:$Q$16)/12</f>
        <v>9125</v>
      </c>
      <c r="K74" s="46">
        <f>SUM(Calculations!$Q$14:$Q$16)/12</f>
        <v>9125</v>
      </c>
      <c r="L74" s="46">
        <f>SUM(Calculations!$Q$14:$Q$16)/12</f>
        <v>9125</v>
      </c>
      <c r="M74" s="46">
        <f>SUM(Calculations!$Q$14:$Q$16)/12</f>
        <v>9125</v>
      </c>
      <c r="N74" s="46">
        <f>SUM(Calculations!$Q$14:$Q$16)/12</f>
        <v>9125</v>
      </c>
      <c r="O74" s="46">
        <f>SUM(Calculations!$Q$14:$Q$16)/12</f>
        <v>9125</v>
      </c>
      <c r="P74" s="46">
        <f>SUM(Calculations!$Q$14:$Q$16)/12</f>
        <v>9125</v>
      </c>
      <c r="Q74" s="46">
        <f>SUM(Calculations!$Q$14:$Q$16)/12</f>
        <v>9125</v>
      </c>
      <c r="R74" s="46">
        <f>SUM(Calculations!$Q$14:$Q$16)/12</f>
        <v>9125</v>
      </c>
      <c r="S74" s="46">
        <f>SUM(Calculations!$Q$14:$Q$16)/12</f>
        <v>9125</v>
      </c>
      <c r="T74" s="46">
        <f>SUM(Calculations!$Q$14:$Q$16)/12</f>
        <v>9125</v>
      </c>
      <c r="U74" s="46">
        <f>SUM(Calculations!$Q$14:$Q$16)/12</f>
        <v>9125</v>
      </c>
      <c r="V74" s="46">
        <f>SUM(Calculations!$Q$14:$Q$16)/12</f>
        <v>9125</v>
      </c>
      <c r="W74" s="46">
        <f>SUM(Calculations!$Q$14:$Q$16)/12</f>
        <v>9125</v>
      </c>
      <c r="X74" s="46">
        <f>SUM(Calculations!$Q$14:$Q$16)/12</f>
        <v>9125</v>
      </c>
      <c r="Y74" s="46">
        <f>SUM(Calculations!$Q$14:$Q$16)/12</f>
        <v>9125</v>
      </c>
      <c r="Z74" s="46">
        <f>SUMIF($B$13:$Y$13,"Yes",B74:Y74)</f>
        <v>118625</v>
      </c>
      <c r="AA74" s="46">
        <f>SUM(B74:M74)</f>
        <v>109500</v>
      </c>
      <c r="AB74" s="46">
        <f>SUM(B74:Y74)</f>
        <v>219000</v>
      </c>
    </row>
    <row r="75" spans="1:30">
      <c r="A75" s="16" t="s">
        <v>47</v>
      </c>
      <c r="B75" s="46">
        <f>SUM(Calculations!$R$14:$R$16)/12</f>
        <v>1600</v>
      </c>
      <c r="C75" s="46">
        <f>SUM(Calculations!$R$14:$R$16)/12</f>
        <v>1600</v>
      </c>
      <c r="D75" s="46">
        <f>SUM(Calculations!$R$14:$R$16)/12</f>
        <v>1600</v>
      </c>
      <c r="E75" s="46">
        <f>SUM(Calculations!$R$14:$R$16)/12</f>
        <v>1600</v>
      </c>
      <c r="F75" s="46">
        <f>SUM(Calculations!$R$14:$R$16)/12</f>
        <v>1600</v>
      </c>
      <c r="G75" s="46">
        <f>SUM(Calculations!$R$14:$R$16)/12</f>
        <v>1600</v>
      </c>
      <c r="H75" s="46">
        <f>SUM(Calculations!$R$14:$R$16)/12</f>
        <v>1600</v>
      </c>
      <c r="I75" s="46">
        <f>SUM(Calculations!$R$14:$R$16)/12</f>
        <v>1600</v>
      </c>
      <c r="J75" s="46">
        <f>SUM(Calculations!$R$14:$R$16)/12</f>
        <v>1600</v>
      </c>
      <c r="K75" s="46">
        <f>SUM(Calculations!$R$14:$R$16)/12</f>
        <v>1600</v>
      </c>
      <c r="L75" s="46">
        <f>SUM(Calculations!$R$14:$R$16)/12</f>
        <v>1600</v>
      </c>
      <c r="M75" s="46">
        <f>SUM(Calculations!$R$14:$R$16)/12</f>
        <v>1600</v>
      </c>
      <c r="N75" s="46">
        <f>SUM(Calculations!$R$14:$R$16)/12</f>
        <v>1600</v>
      </c>
      <c r="O75" s="46">
        <f>SUM(Calculations!$R$14:$R$16)/12</f>
        <v>1600</v>
      </c>
      <c r="P75" s="46">
        <f>SUM(Calculations!$R$14:$R$16)/12</f>
        <v>1600</v>
      </c>
      <c r="Q75" s="46">
        <f>SUM(Calculations!$R$14:$R$16)/12</f>
        <v>1600</v>
      </c>
      <c r="R75" s="46">
        <f>SUM(Calculations!$R$14:$R$16)/12</f>
        <v>1600</v>
      </c>
      <c r="S75" s="46">
        <f>SUM(Calculations!$R$14:$R$16)/12</f>
        <v>1600</v>
      </c>
      <c r="T75" s="46">
        <f>SUM(Calculations!$R$14:$R$16)/12</f>
        <v>1600</v>
      </c>
      <c r="U75" s="46">
        <f>SUM(Calculations!$R$14:$R$16)/12</f>
        <v>1600</v>
      </c>
      <c r="V75" s="46">
        <f>SUM(Calculations!$R$14:$R$16)/12</f>
        <v>1600</v>
      </c>
      <c r="W75" s="46">
        <f>SUM(Calculations!$R$14:$R$16)/12</f>
        <v>1600</v>
      </c>
      <c r="X75" s="46">
        <f>SUM(Calculations!$R$14:$R$16)/12</f>
        <v>1600</v>
      </c>
      <c r="Y75" s="46">
        <f>SUM(Calculations!$R$14:$R$16)/12</f>
        <v>1600</v>
      </c>
      <c r="Z75" s="46">
        <f>SUMIF($B$13:$Y$13,"Yes",B75:Y75)</f>
        <v>20800</v>
      </c>
      <c r="AA75" s="46">
        <f>SUM(B75:M75)</f>
        <v>19200</v>
      </c>
      <c r="AB75" s="46">
        <f>SUM(B75:Y75)</f>
        <v>38400</v>
      </c>
    </row>
    <row r="76" spans="1:30">
      <c r="A76" s="16" t="s">
        <v>48</v>
      </c>
      <c r="B76" s="46">
        <f>SUM(Calculations!$S$14:$S$16)/12</f>
        <v>2200</v>
      </c>
      <c r="C76" s="46">
        <f>SUM(Calculations!$S$14:$S$16)/12</f>
        <v>2200</v>
      </c>
      <c r="D76" s="46">
        <f>SUM(Calculations!$S$14:$S$16)/12</f>
        <v>2200</v>
      </c>
      <c r="E76" s="46">
        <f>SUM(Calculations!$S$14:$S$16)/12</f>
        <v>2200</v>
      </c>
      <c r="F76" s="46">
        <f>SUM(Calculations!$S$14:$S$16)/12</f>
        <v>2200</v>
      </c>
      <c r="G76" s="46">
        <f>SUM(Calculations!$S$14:$S$16)/12</f>
        <v>2200</v>
      </c>
      <c r="H76" s="46">
        <f>SUM(Calculations!$S$14:$S$16)/12</f>
        <v>2200</v>
      </c>
      <c r="I76" s="46">
        <f>SUM(Calculations!$S$14:$S$16)/12</f>
        <v>2200</v>
      </c>
      <c r="J76" s="46">
        <f>SUM(Calculations!$S$14:$S$16)/12</f>
        <v>2200</v>
      </c>
      <c r="K76" s="46">
        <f>SUM(Calculations!$S$14:$S$16)/12</f>
        <v>2200</v>
      </c>
      <c r="L76" s="46">
        <f>SUM(Calculations!$S$14:$S$16)/12</f>
        <v>2200</v>
      </c>
      <c r="M76" s="46">
        <f>SUM(Calculations!$S$14:$S$16)/12</f>
        <v>2200</v>
      </c>
      <c r="N76" s="46">
        <f>SUM(Calculations!$S$14:$S$16)/12</f>
        <v>2200</v>
      </c>
      <c r="O76" s="46">
        <f>SUM(Calculations!$S$14:$S$16)/12</f>
        <v>2200</v>
      </c>
      <c r="P76" s="46">
        <f>SUM(Calculations!$S$14:$S$16)/12</f>
        <v>2200</v>
      </c>
      <c r="Q76" s="46">
        <f>SUM(Calculations!$S$14:$S$16)/12</f>
        <v>2200</v>
      </c>
      <c r="R76" s="46">
        <f>SUM(Calculations!$S$14:$S$16)/12</f>
        <v>2200</v>
      </c>
      <c r="S76" s="46">
        <f>SUM(Calculations!$S$14:$S$16)/12</f>
        <v>2200</v>
      </c>
      <c r="T76" s="46">
        <f>SUM(Calculations!$S$14:$S$16)/12</f>
        <v>2200</v>
      </c>
      <c r="U76" s="46">
        <f>SUM(Calculations!$S$14:$S$16)/12</f>
        <v>2200</v>
      </c>
      <c r="V76" s="46">
        <f>SUM(Calculations!$S$14:$S$16)/12</f>
        <v>2200</v>
      </c>
      <c r="W76" s="46">
        <f>SUM(Calculations!$S$14:$S$16)/12</f>
        <v>2200</v>
      </c>
      <c r="X76" s="46">
        <f>SUM(Calculations!$S$14:$S$16)/12</f>
        <v>2200</v>
      </c>
      <c r="Y76" s="46">
        <f>SUM(Calculations!$S$14:$S$16)/12</f>
        <v>2200</v>
      </c>
      <c r="Z76" s="46">
        <f>SUMIF($B$13:$Y$13,"Yes",B76:Y76)</f>
        <v>28600</v>
      </c>
      <c r="AA76" s="46">
        <f>SUM(B76:M76)</f>
        <v>26400</v>
      </c>
      <c r="AB76" s="46">
        <f>SUM(B76:Y76)</f>
        <v>52800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15442.63846819481</v>
      </c>
      <c r="C81" s="46">
        <f>(SUM($AA$18:$AA$29)-SUM($AA$36,$AA$42,$AA$48,$AA$54,$AA$60,$AA$66,$AA$72:$AA$79))*Parameters!$B$37/12</f>
        <v>15442.63846819481</v>
      </c>
      <c r="D81" s="46">
        <f>(SUM($AA$18:$AA$29)-SUM($AA$36,$AA$42,$AA$48,$AA$54,$AA$60,$AA$66,$AA$72:$AA$79))*Parameters!$B$37/12</f>
        <v>15442.63846819481</v>
      </c>
      <c r="E81" s="46">
        <f>(SUM($AA$18:$AA$29)-SUM($AA$36,$AA$42,$AA$48,$AA$54,$AA$60,$AA$66,$AA$72:$AA$79))*Parameters!$B$37/12</f>
        <v>15442.63846819481</v>
      </c>
      <c r="F81" s="46">
        <f>(SUM($AA$18:$AA$29)-SUM($AA$36,$AA$42,$AA$48,$AA$54,$AA$60,$AA$66,$AA$72:$AA$79))*Parameters!$B$37/12</f>
        <v>15442.63846819481</v>
      </c>
      <c r="G81" s="46">
        <f>(SUM($AA$18:$AA$29)-SUM($AA$36,$AA$42,$AA$48,$AA$54,$AA$60,$AA$66,$AA$72:$AA$79))*Parameters!$B$37/12</f>
        <v>15442.63846819481</v>
      </c>
      <c r="H81" s="46">
        <f>(SUM($AA$18:$AA$29)-SUM($AA$36,$AA$42,$AA$48,$AA$54,$AA$60,$AA$66,$AA$72:$AA$79))*Parameters!$B$37/12</f>
        <v>15442.63846819481</v>
      </c>
      <c r="I81" s="46">
        <f>(SUM($AA$18:$AA$29)-SUM($AA$36,$AA$42,$AA$48,$AA$54,$AA$60,$AA$66,$AA$72:$AA$79))*Parameters!$B$37/12</f>
        <v>15442.63846819481</v>
      </c>
      <c r="J81" s="46">
        <f>(SUM($AA$18:$AA$29)-SUM($AA$36,$AA$42,$AA$48,$AA$54,$AA$60,$AA$66,$AA$72:$AA$79))*Parameters!$B$37/12</f>
        <v>15442.63846819481</v>
      </c>
      <c r="K81" s="46">
        <f>(SUM($AA$18:$AA$29)-SUM($AA$36,$AA$42,$AA$48,$AA$54,$AA$60,$AA$66,$AA$72:$AA$79))*Parameters!$B$37/12</f>
        <v>15442.63846819481</v>
      </c>
      <c r="L81" s="46">
        <f>(SUM($AA$18:$AA$29)-SUM($AA$36,$AA$42,$AA$48,$AA$54,$AA$60,$AA$66,$AA$72:$AA$79))*Parameters!$B$37/12</f>
        <v>15442.63846819481</v>
      </c>
      <c r="M81" s="46">
        <f>(SUM($AA$18:$AA$29)-SUM($AA$36,$AA$42,$AA$48,$AA$54,$AA$60,$AA$66,$AA$72:$AA$79))*Parameters!$B$37/12</f>
        <v>15442.63846819481</v>
      </c>
      <c r="N81" s="46">
        <f>(SUM($AA$18:$AA$29)-SUM($AA$36,$AA$42,$AA$48,$AA$54,$AA$60,$AA$66,$AA$72:$AA$79))*Parameters!$B$37/12</f>
        <v>15442.63846819481</v>
      </c>
      <c r="O81" s="46">
        <f>(SUM($AA$18:$AA$29)-SUM($AA$36,$AA$42,$AA$48,$AA$54,$AA$60,$AA$66,$AA$72:$AA$79))*Parameters!$B$37/12</f>
        <v>15442.63846819481</v>
      </c>
      <c r="P81" s="46">
        <f>(SUM($AA$18:$AA$29)-SUM($AA$36,$AA$42,$AA$48,$AA$54,$AA$60,$AA$66,$AA$72:$AA$79))*Parameters!$B$37/12</f>
        <v>15442.63846819481</v>
      </c>
      <c r="Q81" s="46">
        <f>(SUM($AA$18:$AA$29)-SUM($AA$36,$AA$42,$AA$48,$AA$54,$AA$60,$AA$66,$AA$72:$AA$79))*Parameters!$B$37/12</f>
        <v>15442.63846819481</v>
      </c>
      <c r="R81" s="46">
        <f>(SUM($AA$18:$AA$29)-SUM($AA$36,$AA$42,$AA$48,$AA$54,$AA$60,$AA$66,$AA$72:$AA$79))*Parameters!$B$37/12</f>
        <v>15442.63846819481</v>
      </c>
      <c r="S81" s="46">
        <f>(SUM($AA$18:$AA$29)-SUM($AA$36,$AA$42,$AA$48,$AA$54,$AA$60,$AA$66,$AA$72:$AA$79))*Parameters!$B$37/12</f>
        <v>15442.63846819481</v>
      </c>
      <c r="T81" s="46">
        <f>(SUM($AA$18:$AA$29)-SUM($AA$36,$AA$42,$AA$48,$AA$54,$AA$60,$AA$66,$AA$72:$AA$79))*Parameters!$B$37/12</f>
        <v>15442.63846819481</v>
      </c>
      <c r="U81" s="46">
        <f>(SUM($AA$18:$AA$29)-SUM($AA$36,$AA$42,$AA$48,$AA$54,$AA$60,$AA$66,$AA$72:$AA$79))*Parameters!$B$37/12</f>
        <v>15442.63846819481</v>
      </c>
      <c r="V81" s="46">
        <f>(SUM($AA$18:$AA$29)-SUM($AA$36,$AA$42,$AA$48,$AA$54,$AA$60,$AA$66,$AA$72:$AA$79))*Parameters!$B$37/12</f>
        <v>15442.63846819481</v>
      </c>
      <c r="W81" s="46">
        <f>(SUM($AA$18:$AA$29)-SUM($AA$36,$AA$42,$AA$48,$AA$54,$AA$60,$AA$66,$AA$72:$AA$79))*Parameters!$B$37/12</f>
        <v>15442.63846819481</v>
      </c>
      <c r="X81" s="46">
        <f>(SUM($AA$18:$AA$29)-SUM($AA$36,$AA$42,$AA$48,$AA$54,$AA$60,$AA$66,$AA$72:$AA$79))*Parameters!$B$37/12</f>
        <v>15442.63846819481</v>
      </c>
      <c r="Y81" s="46">
        <f>(SUM($AA$18:$AA$29)-SUM($AA$36,$AA$42,$AA$48,$AA$54,$AA$60,$AA$66,$AA$72:$AA$79))*Parameters!$B$37/12</f>
        <v>15442.63846819481</v>
      </c>
      <c r="Z81" s="46">
        <f>SUMIF($B$13:$Y$13,"Yes",B81:Y81)</f>
        <v>200754.3000865325</v>
      </c>
      <c r="AA81" s="46">
        <f>SUM(B81:M81)</f>
        <v>185311.6616183377</v>
      </c>
      <c r="AB81" s="46">
        <f>SUM(B81:Y81)</f>
        <v>370623.3232366755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39442.63846819481</v>
      </c>
      <c r="C88" s="19">
        <f>SUM(C72:C82,C66,C60,C54,C48,C42,C36)</f>
        <v>91330.63846819481</v>
      </c>
      <c r="D88" s="19">
        <f>SUM(D72:D82,D66,D60,D54,D48,D42,D36)</f>
        <v>54880.63846819481</v>
      </c>
      <c r="E88" s="19">
        <f>SUM(E72:E82,E66,E60,E54,E48,E42,E36)</f>
        <v>51930.63846819481</v>
      </c>
      <c r="F88" s="19">
        <f>SUM(F72:F82,F66,F60,F54,F48,F42,F36)</f>
        <v>43330.63846819481</v>
      </c>
      <c r="G88" s="19">
        <f>SUM(G72:G82,G66,G60,G54,G48,G42,G36)</f>
        <v>70330.63846819481</v>
      </c>
      <c r="H88" s="19">
        <f>SUM(H72:H82,H66,H60,H54,H48,H42,H36)</f>
        <v>39442.63846819481</v>
      </c>
      <c r="I88" s="19">
        <f>SUM(I72:I82,I66,I60,I54,I48,I42,I36)</f>
        <v>91330.63846819481</v>
      </c>
      <c r="J88" s="19">
        <f>SUM(J72:J82,J66,J60,J54,J48,J42,J36)</f>
        <v>54880.63846819481</v>
      </c>
      <c r="K88" s="19">
        <f>SUM(K72:K82,K66,K60,K54,K48,K42,K36)</f>
        <v>51930.63846819481</v>
      </c>
      <c r="L88" s="19">
        <f>SUM(L72:L82,L66,L60,L54,L48,L42,L36)</f>
        <v>43330.63846819481</v>
      </c>
      <c r="M88" s="19">
        <f>SUM(M72:M82,M66,M60,M54,M48,M42,M36)</f>
        <v>70330.63846819481</v>
      </c>
      <c r="N88" s="19">
        <f>SUM(N72:N82,N66,N60,N54,N48,N42,N36)</f>
        <v>39442.63846819481</v>
      </c>
      <c r="O88" s="19">
        <f>SUM(O72:O82,O66,O60,O54,O48,O42,O36)</f>
        <v>91330.63846819481</v>
      </c>
      <c r="P88" s="19">
        <f>SUM(P72:P82,P66,P60,P54,P48,P42,P36)</f>
        <v>54880.63846819481</v>
      </c>
      <c r="Q88" s="19">
        <f>SUM(Q72:Q82,Q66,Q60,Q54,Q48,Q42,Q36)</f>
        <v>51930.63846819481</v>
      </c>
      <c r="R88" s="19">
        <f>SUM(R72:R82,R66,R60,R54,R48,R42,R36)</f>
        <v>43330.63846819481</v>
      </c>
      <c r="S88" s="19">
        <f>SUM(S72:S82,S66,S60,S54,S48,S42,S36)</f>
        <v>70330.63846819481</v>
      </c>
      <c r="T88" s="19">
        <f>SUM(T72:T82,T66,T60,T54,T48,T42,T36)</f>
        <v>39442.63846819481</v>
      </c>
      <c r="U88" s="19">
        <f>SUM(U72:U82,U66,U60,U54,U48,U42,U36)</f>
        <v>91330.63846819481</v>
      </c>
      <c r="V88" s="19">
        <f>SUM(V72:V82,V66,V60,V54,V48,V42,V36)</f>
        <v>54880.63846819481</v>
      </c>
      <c r="W88" s="19">
        <f>SUM(W72:W82,W66,W60,W54,W48,W42,W36)</f>
        <v>51930.63846819481</v>
      </c>
      <c r="X88" s="19">
        <f>SUM(X72:X82,X66,X60,X54,X48,X42,X36)</f>
        <v>43330.63846819481</v>
      </c>
      <c r="Y88" s="19">
        <f>SUM(Y72:Y82,Y66,Y60,Y54,Y48,Y42,Y36)</f>
        <v>70330.63846819481</v>
      </c>
      <c r="Z88" s="19">
        <f>SUMIF($B$13:$Y$13,"Yes",B88:Y88)</f>
        <v>741934.3000865323</v>
      </c>
      <c r="AA88" s="19">
        <f>SUM(B88:M88)</f>
        <v>702491.6616183375</v>
      </c>
      <c r="AB88" s="19">
        <f>SUM(B88:Y88)</f>
        <v>1404983.323236675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/>
      </c>
    </row>
    <row r="95" spans="1:30">
      <c r="A95" t="s">
        <v>61</v>
      </c>
      <c r="B95" s="36">
        <f>Inputs!B47</f>
        <v/>
      </c>
    </row>
    <row r="96" spans="1:30">
      <c r="A96" t="s">
        <v>62</v>
      </c>
      <c r="B96" s="36">
        <f>SUMPRODUCT(Inputs!C19:C21,Calculations!O14:O16)</f>
        <v>1020000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/>
      </c>
    </row>
    <row r="100" spans="1:30" customHeight="1" ht="15.75">
      <c r="A100" s="18" t="s">
        <v>66</v>
      </c>
      <c r="B100" s="37">
        <f>Inputs!B48</f>
        <v/>
      </c>
    </row>
    <row r="101" spans="1:30" customHeight="1" ht="15.75">
      <c r="A101" s="1" t="s">
        <v>67</v>
      </c>
      <c r="B101" s="19">
        <f>SUM(B94:B100)</f>
        <v>1020000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/>
      </c>
    </row>
    <row r="105" spans="1:30">
      <c r="A105" t="s">
        <v>70</v>
      </c>
      <c r="B105" s="36">
        <f>SUM(Inputs!B56:B60)</f>
        <v>22540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122540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94</v>
      </c>
      <c r="B8" s="16"/>
      <c r="C8" s="143">
        <v>3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91</v>
      </c>
      <c r="J8" s="148" t="s">
        <v>96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60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12</v>
      </c>
      <c r="D20" s="147"/>
      <c r="E20" s="16"/>
      <c r="F20" s="147" t="s">
        <v>91</v>
      </c>
      <c r="G20" s="16"/>
      <c r="H20" s="16"/>
      <c r="I20" s="147" t="s">
        <v>113</v>
      </c>
      <c r="J20" s="147"/>
      <c r="K20" s="147"/>
      <c r="L20" s="30"/>
    </row>
    <row r="21" spans="1:48">
      <c r="A21" s="144" t="s">
        <v>114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113</v>
      </c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25000</v>
      </c>
    </row>
    <row r="31" spans="1:48">
      <c r="A31" s="5" t="s">
        <v>121</v>
      </c>
      <c r="B31" s="158">
        <v>5000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/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/>
    </row>
    <row r="44" spans="1:48">
      <c r="A44" s="56" t="s">
        <v>132</v>
      </c>
      <c r="B44" s="160"/>
    </row>
    <row r="45" spans="1:48">
      <c r="A45" s="56" t="s">
        <v>133</v>
      </c>
      <c r="B45" s="161"/>
    </row>
    <row r="46" spans="1:48" customHeight="1" ht="30">
      <c r="A46" s="57" t="s">
        <v>134</v>
      </c>
      <c r="B46" s="161"/>
    </row>
    <row r="47" spans="1:48" customHeight="1" ht="30">
      <c r="A47" s="57" t="s">
        <v>135</v>
      </c>
      <c r="B47" s="161"/>
    </row>
    <row r="48" spans="1:48" customHeight="1" ht="30">
      <c r="A48" s="57" t="s">
        <v>136</v>
      </c>
      <c r="B48" s="161"/>
    </row>
    <row r="49" spans="1:48" customHeight="1" ht="30">
      <c r="A49" s="57" t="s">
        <v>137</v>
      </c>
      <c r="B49" s="161"/>
    </row>
    <row r="50" spans="1:48">
      <c r="A50" s="43"/>
      <c r="B50" s="36"/>
    </row>
    <row r="51" spans="1:48">
      <c r="A51" s="58" t="s">
        <v>138</v>
      </c>
      <c r="B51" s="161"/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53624</v>
      </c>
      <c r="B56" s="159">
        <v>22540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0</v>
      </c>
      <c r="B57" s="157">
        <v>0</v>
      </c>
      <c r="C57" s="164" t="s">
        <v>146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146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146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146</v>
      </c>
      <c r="D60" s="167"/>
      <c r="E60" s="167" t="s">
        <v>92</v>
      </c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150</v>
      </c>
      <c r="C65" s="10" t="s">
        <v>151</v>
      </c>
    </row>
    <row r="66" spans="1:48">
      <c r="A66" s="142" t="s">
        <v>152</v>
      </c>
      <c r="B66" s="159">
        <v>61159</v>
      </c>
      <c r="C66" s="163">
        <v>58856</v>
      </c>
      <c r="D66" s="49">
        <f>INDEX(Parameters!$D$79:$D$90,MATCH(Inputs!A66,Parameters!$C$79:$C$90,0))</f>
        <v>9</v>
      </c>
    </row>
    <row r="67" spans="1:48">
      <c r="A67" s="143" t="s">
        <v>153</v>
      </c>
      <c r="B67" s="157">
        <v>26918</v>
      </c>
      <c r="C67" s="165">
        <v>25859</v>
      </c>
      <c r="D67" s="49">
        <f>INDEX(Parameters!$D$79:$D$90,MATCH(Inputs!A67,Parameters!$C$79:$C$90,0))</f>
        <v>8</v>
      </c>
    </row>
    <row r="68" spans="1:48">
      <c r="A68" s="143" t="s">
        <v>154</v>
      </c>
      <c r="B68" s="157">
        <v>34320</v>
      </c>
      <c r="C68" s="165">
        <v>21780</v>
      </c>
      <c r="D68" s="49">
        <f>INDEX(Parameters!$D$79:$D$90,MATCH(Inputs!A68,Parameters!$C$79:$C$90,0))</f>
        <v>7</v>
      </c>
    </row>
    <row r="69" spans="1:48">
      <c r="A69" s="143" t="s">
        <v>155</v>
      </c>
      <c r="B69" s="157">
        <v>32192</v>
      </c>
      <c r="C69" s="165">
        <v>31052</v>
      </c>
      <c r="D69" s="49">
        <f>INDEX(Parameters!$D$79:$D$90,MATCH(Inputs!A69,Parameters!$C$79:$C$90,0))</f>
        <v>6</v>
      </c>
    </row>
    <row r="70" spans="1:48">
      <c r="A70" s="143" t="s">
        <v>156</v>
      </c>
      <c r="B70" s="157">
        <v>46350</v>
      </c>
      <c r="C70" s="165">
        <v>41147</v>
      </c>
      <c r="D70" s="49">
        <f>INDEX(Parameters!$D$79:$D$90,MATCH(Inputs!A70,Parameters!$C$79:$C$90,0))</f>
        <v>5</v>
      </c>
    </row>
    <row r="71" spans="1:48">
      <c r="A71" s="144" t="s">
        <v>157</v>
      </c>
      <c r="B71" s="158">
        <v>74630</v>
      </c>
      <c r="C71" s="167">
        <v>62110</v>
      </c>
      <c r="D71" s="49">
        <f>INDEX(Parameters!$D$79:$D$90,MATCH(Inputs!A71,Parameters!$C$79:$C$90,0))</f>
        <v>4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100000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>
        <v>3</v>
      </c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345059.1540458443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1268.358553027174</v>
      </c>
      <c r="M5" s="30">
        <f>L5*H5</f>
        <v>3805.075659081523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11550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27000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40500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60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12000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120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110400</v>
      </c>
      <c r="Q15" s="64">
        <f>IFERROR(D15*INDEX(Parameters!$A$22:$P$29,MATCH(Calculations!$A15,Parameters!$A$22:$A$29,0),MATCH(Parameters!$L$22,Parameters!$A$22:$P$22,0))*IF(Inputs!I20="Always",1,IF(Inputs!I20="Sometimes",0.5,0))*365,"")</f>
        <v>109500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53624</v>
      </c>
      <c r="B23" s="75">
        <f>SUM(C23:D23)</f>
        <v>983.1066666666667</v>
      </c>
      <c r="C23" s="75" t="str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983.1066666666667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43069</v>
      </c>
      <c r="C33" s="27">
        <f>IF(B33&lt;&gt;"",IF(COUNT($A$33:A33)&lt;=$G$39,0,$G$41)+IF(COUNT($A$33:A33)&lt;=$G$40,0,$G$42),0)</f>
        <v>1666.666666666667</v>
      </c>
      <c r="D33" s="170">
        <f>IFERROR(DATE(YEAR(B33),MONTH(B33),1)," ")</f>
        <v>43040</v>
      </c>
      <c r="F33" t="s">
        <v>163</v>
      </c>
      <c r="G33" s="128">
        <f>IF(Inputs!B79="","",DATE(YEAR(Inputs!B79),MONTH(Inputs!B79),DAY(Inputs!B79)))</f>
        <v>43039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43097</v>
      </c>
      <c r="C34" s="27">
        <f>IF(B34&lt;&gt;"",IF(COUNT($A$33:A34)&lt;=$G$39,0,$G$41)+IF(COUNT($A$33:A34)&lt;=$G$40,0,$G$42),0)</f>
        <v>1666.666666666667</v>
      </c>
      <c r="D34" s="170">
        <f>IFERROR(DATE(YEAR(B34),MONTH(B34),1)," ")</f>
        <v>43070</v>
      </c>
      <c r="F34" t="s">
        <v>164</v>
      </c>
      <c r="G34" s="128">
        <f>IF(Inputs!B80="","",DATE(YEAR(Inputs!B80),MONTH(Inputs!B80),DAY(Inputs!B80)))</f>
        <v>43069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43128</v>
      </c>
      <c r="C35" s="27">
        <f>IF(B35&lt;&gt;"",IF(COUNT($A$33:A35)&lt;=$G$39,0,$G$41)+IF(COUNT($A$33:A35)&lt;=$G$40,0,$G$42),0)</f>
        <v>1666.666666666667</v>
      </c>
      <c r="D35" s="170">
        <f>IFERROR(DATE(YEAR(B35),MONTH(B35),1)," ")</f>
        <v>43101</v>
      </c>
      <c r="F35" t="s">
        <v>166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43159</v>
      </c>
      <c r="C36" s="27">
        <f>IF(B36&lt;&gt;"",IF(COUNT($A$33:A36)&lt;=$G$39,0,$G$41)+IF(COUNT($A$33:A36)&lt;=$G$40,0,$G$42),0)</f>
        <v>12777.77777777778</v>
      </c>
      <c r="D36" s="170">
        <f>IFERROR(DATE(YEAR(B36),MONTH(B36),1)," ")</f>
        <v>43132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43187</v>
      </c>
      <c r="C37" s="27">
        <f>IF(B37&lt;&gt;"",IF(COUNT($A$33:A37)&lt;=$G$39,0,$G$41)+IF(COUNT($A$33:A37)&lt;=$G$40,0,$G$42),0)</f>
        <v>12777.77777777778</v>
      </c>
      <c r="D37" s="170">
        <f>IFERROR(DATE(YEAR(B37),MONTH(B37),1)," ")</f>
        <v>43160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43218</v>
      </c>
      <c r="C38" s="27">
        <f>IF(B38&lt;&gt;"",IF(COUNT($A$33:A38)&lt;=$G$39,0,$G$41)+IF(COUNT($A$33:A38)&lt;=$G$40,0,$G$42),0)</f>
        <v>12777.77777777778</v>
      </c>
      <c r="D38" s="170">
        <f>IFERROR(DATE(YEAR(B38),MONTH(B38),1)," ")</f>
        <v>43191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43248</v>
      </c>
      <c r="C39" s="27">
        <f>IF(B39&lt;&gt;"",IF(COUNT($A$33:A39)&lt;=$G$39,0,$G$41)+IF(COUNT($A$33:A39)&lt;=$G$40,0,$G$42),0)</f>
        <v>12777.77777777778</v>
      </c>
      <c r="D39" s="170">
        <f>IFERROR(DATE(YEAR(B39),MONTH(B39),1)," ")</f>
        <v>43221</v>
      </c>
      <c r="F39" t="s">
        <v>172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43279</v>
      </c>
      <c r="C40" s="27">
        <f>IF(B40&lt;&gt;"",IF(COUNT($A$33:A40)&lt;=$G$39,0,$G$41)+IF(COUNT($A$33:A40)&lt;=$G$40,0,$G$42),0)</f>
        <v>12777.77777777778</v>
      </c>
      <c r="D40" s="170">
        <f>IFERROR(DATE(YEAR(B40),MONTH(B40),1)," ")</f>
        <v>43252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43309</v>
      </c>
      <c r="C41" s="27">
        <f>IF(B41&lt;&gt;"",IF(COUNT($A$33:A41)&lt;=$G$39,0,$G$41)+IF(COUNT($A$33:A41)&lt;=$G$40,0,$G$42),0)</f>
        <v>12777.77777777778</v>
      </c>
      <c r="D41" s="170">
        <f>IFERROR(DATE(YEAR(B41),MONTH(B41),1)," ")</f>
        <v>43282</v>
      </c>
      <c r="F41" t="s">
        <v>230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43340</v>
      </c>
      <c r="C42" s="27">
        <f>IF(B42&lt;&gt;"",IF(COUNT($A$33:A42)&lt;=$G$39,0,$G$41)+IF(COUNT($A$33:A42)&lt;=$G$40,0,$G$42),0)</f>
        <v>12777.77777777778</v>
      </c>
      <c r="D42" s="170">
        <f>IFERROR(DATE(YEAR(B42),MONTH(B42),1)," ")</f>
        <v>43313</v>
      </c>
      <c r="F42" t="s">
        <v>231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43371</v>
      </c>
      <c r="C43" s="27">
        <f>IF(B43&lt;&gt;"",IF(COUNT($A$33:A43)&lt;=$G$39,0,$G$41)+IF(COUNT($A$33:A43)&lt;=$G$40,0,$G$42),0)</f>
        <v>12777.77777777778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43401</v>
      </c>
      <c r="C44" s="27">
        <f>IF(B44&lt;&gt;"",IF(COUNT($A$33:A44)&lt;=$G$39,0,$G$41)+IF(COUNT($A$33:A44)&lt;=$G$40,0,$G$42),0)</f>
        <v>12777.77777777778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204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114</v>
      </c>
      <c r="B24" s="21" t="s">
        <v>298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298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298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298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91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114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314</v>
      </c>
      <c r="H52" s="12" t="s">
        <v>315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232</v>
      </c>
      <c r="E53" s="10" t="s">
        <v>191</v>
      </c>
      <c r="F53" s="10" t="s">
        <v>251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169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228</v>
      </c>
      <c r="J76" s="11" t="s">
        <v>349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111</v>
      </c>
      <c r="H77" s="12" t="s">
        <v>315</v>
      </c>
      <c r="I77" s="12" t="s">
        <v>351</v>
      </c>
      <c r="J77" s="136" t="s">
        <v>352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113</v>
      </c>
      <c r="H78" s="12" t="s">
        <v>316</v>
      </c>
      <c r="I78" s="12" t="s">
        <v>356</v>
      </c>
      <c r="J78" s="70" t="s">
        <v>357</v>
      </c>
      <c r="K78" s="12" t="s">
        <v>91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169</v>
      </c>
      <c r="J79" s="70" t="s">
        <v>95</v>
      </c>
      <c r="K79" s="12" t="s">
        <v>91</v>
      </c>
      <c r="AJ79" s="12"/>
    </row>
    <row r="80" spans="1:36">
      <c r="B80" s="176">
        <v>20</v>
      </c>
      <c r="C80" s="12" t="s">
        <v>362</v>
      </c>
      <c r="D80" s="12">
        <f>D79+1</f>
        <v>2</v>
      </c>
      <c r="E80" s="12" t="s">
        <v>363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93</v>
      </c>
      <c r="D89" s="12">
        <f>D88+1</f>
        <v>11</v>
      </c>
    </row>
    <row r="90" spans="1:36">
      <c r="C90" s="12" t="s">
        <v>96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