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<sst xmlns="http://schemas.openxmlformats.org/spreadsheetml/2006/main" uniqueCount="370">
  <si>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</si>
  <si>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</si>
  <si>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</si>
  <si>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</si>
  <si>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</si>
  <si>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</si>
  <si>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</si>
  <si>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</si>
  <si>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</si>
  <si>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</si>
  <si>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</si>
  <si>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</si>
  <si>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</si>
  <si>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</si>
  <si>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</si>
  <si>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</si>
  <si>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</si>
  <si>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</si>
  <si>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</si>
  <si>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</si>
  <si>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</si>
  <si>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</si>
  <si>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</si>
  <si>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</si>
  <si>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</si>
  <si>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</si>
  <si>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</si>
  <si>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</si>
  <si>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</si>
  <si>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</si>
  <si>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</si>
  <si>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</si>
  <si>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</si>
  <si>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</si>
  <si>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</si>
  <si>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</si>
  <si>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</si>
  <si>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</si>
  <si>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</si>
  <si>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</si>
  <si>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</si>
  <si>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</si>
  <si>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</si>
  <si>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</si>
  <si>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</si>
  <si>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</si>
  <si>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</si>
  <si>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</si>
  <si>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</si>
  <si>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</si>
  <si>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</si>
  <si>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</si>
  <si>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</si>
  <si>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</si>
  <si>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</si>
  <si>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</si>
  <si>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</si>
  <si>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</si>
  <si>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</si>
  <si>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</si>
  <si>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</si>
  <si>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</si>
  <si>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</si>
  <si>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</si>
  <si>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</si>
  <si>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</si>
  <si>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</si>
  <si>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</si>
  <si>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</si>
  <si>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</si>
  <si>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</si>
  <si>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</si>
  <si>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</si>
  <si>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</si>
  <si>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</si>
  <si>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</si>
  <si>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</si>
  <si>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</si>
  <si>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</si>
  <si>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</si>
  <si>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</si>
  <si>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</si>
  <si>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</si>
  <si>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</si>
  <si>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</si>
  <si>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</si>
  <si>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</si>
  <si>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</si>
  <si>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</si>
  <si>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</si>
  <si>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</si>
  <si>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</si>
  <si>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</si>
  <si>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No</t>
  </si>
  <si>
    <t>April</t>
  </si>
  <si>
    <t>Potatoes</t>
  </si>
  <si>
    <t>March</t>
  </si>
  <si>
    <t>Wheat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</si>
  <si>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</si>
  <si>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</si>
  <si>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</si>
  <si>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</si>
  <si>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</si>
  <si>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</si>
  <si>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</si>
  <si>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</si>
  <si>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</si>
  <si>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</si>
  <si>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</si>
  <si>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</si>
  <si>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</si>
  <si>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</si>
  <si>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</si>
  <si>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</si>
  <si>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</si>
  <si>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</si>
  <si>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</si>
  <si>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</si>
  <si>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</si>
  <si>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</si>
  <si>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</si>
  <si>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</si>
  <si>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</si>
  <si>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</si>
  <si>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</si>
  <si>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</si>
  <si>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</si>
  <si>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</si>
  <si>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</si>
  <si>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</si>
  <si>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</si>
  <si>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</si>
  <si>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</si>
  <si>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</si>
  <si>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</si>
  <si>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</si>
  <si>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</si>
  <si>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</si>
  <si>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</si>
  <si>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</si>
  <si>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</si>
  <si>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</si>
  <si>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</si>
  <si>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</si>
  <si>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</si>
  <si>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11/3/2016</t>
  </si>
  <si>
    <t xml:space="preserve">Musoni </t>
  </si>
  <si>
    <t xml:space="preserve">cleared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</si>
  <si>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</si>
  <si>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</si>
  <si>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</si>
  <si>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</si>
  <si>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</si>
  <si>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</si>
  <si>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</si>
  <si>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</si>
  <si>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</si>
  <si>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</si>
  <si>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</si>
  <si>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</si>
  <si>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</t>
  </si>
  <si>
    <t>Loan terms</t>
  </si>
  <si>
    <t>Expected disbursement date</t>
  </si>
  <si>
    <t>Expected first repayment date</t>
  </si>
  <si>
    <t>2017/12/2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</si>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</sst>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Potatoes, Wheat,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0.5546771092264532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>
        <f>IFERROR(Output!B107/Output!B101,"")</f>
        <v>0.04403186274509804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169927.9562302023</v>
      </c>
    </row>
    <row r="18" spans="1:7">
      <c r="B18" s="1" t="s">
        <v>12</v>
      </c>
      <c r="C18" s="36">
        <f>MIN(Output!B6:M6)</f>
        <v>-188989.8499132019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112991.7321360896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1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-1258.983623165121</v>
      </c>
      <c r="C6" s="51">
        <f>C30-C88</f>
        <v>-188989.8499132019</v>
      </c>
      <c r="D6" s="51">
        <f>D30-D88</f>
        <v>39538.78846784699</v>
      </c>
      <c r="E6" s="51">
        <f>E30-E88</f>
        <v>107147.583494936</v>
      </c>
      <c r="F6" s="51">
        <f>F30-F88</f>
        <v>35927.62335967387</v>
      </c>
      <c r="G6" s="51">
        <f>G30-G88</f>
        <v>3190.482995677987</v>
      </c>
      <c r="H6" s="51">
        <f>H30-H88</f>
        <v>4585.165017988511</v>
      </c>
      <c r="I6" s="51">
        <f>I30-I88</f>
        <v>-33145.70127204828</v>
      </c>
      <c r="J6" s="51">
        <f>J30-J88</f>
        <v>45382.93710900062</v>
      </c>
      <c r="K6" s="51">
        <f>K30-K88</f>
        <v>112991.7321360896</v>
      </c>
      <c r="L6" s="51">
        <f>L30-L88</f>
        <v>41367.69546172601</v>
      </c>
      <c r="M6" s="51">
        <f>M30-M88</f>
        <v>3190.482995677987</v>
      </c>
      <c r="N6" s="51">
        <f>N30-N88</f>
        <v>4585.165017988511</v>
      </c>
      <c r="O6" s="51">
        <f>O30-O88</f>
        <v>-33145.70127204828</v>
      </c>
      <c r="P6" s="51">
        <f>P30-P88</f>
        <v>45382.93710900062</v>
      </c>
      <c r="Q6" s="51">
        <f>Q30-Q88</f>
        <v>112991.7321360896</v>
      </c>
      <c r="R6" s="51">
        <f>R30-R88</f>
        <v>41367.69546172601</v>
      </c>
      <c r="S6" s="51">
        <f>S30-S88</f>
        <v>3190.482995677987</v>
      </c>
      <c r="T6" s="51">
        <f>T30-T88</f>
        <v>4585.165017988511</v>
      </c>
      <c r="U6" s="51">
        <f>U30-U88</f>
        <v>-33145.70127204828</v>
      </c>
      <c r="V6" s="51">
        <f>V30-V88</f>
        <v>45382.93710900062</v>
      </c>
      <c r="W6" s="51">
        <f>W30-W88</f>
        <v>112991.7321360896</v>
      </c>
      <c r="X6" s="51">
        <f>X30-X88</f>
        <v>41367.69546172601</v>
      </c>
      <c r="Y6" s="51">
        <f>Y30-Y88</f>
        <v>3190.482995677987</v>
      </c>
      <c r="Z6" s="51">
        <f>SUMIF($B$13:$Y$13,"Yes",B6:Y6)</f>
        <v>174513.1212481908</v>
      </c>
      <c r="AA6" s="51">
        <f>AA30-AA88</f>
        <v>169927.9562302023</v>
      </c>
      <c r="AB6" s="51">
        <f>AB30-AB88</f>
        <v>518672.5791270714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</v>
      </c>
      <c r="I7" s="80">
        <f>IF(ISERROR(VLOOKUP(MONTH(I5),Inputs!$D$66:$D$71,1,0)),"",INDEX(Inputs!$B$66:$B$71,MATCH(MONTH(Output!I5),Inputs!$D$66:$D$71,0))-INDEX(Inputs!$C$66:$C$71,MATCH(MONTH(Output!I5),Inputs!$D$66:$D$71,0)))</f>
        <v>-500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10000</v>
      </c>
      <c r="L7" s="80">
        <f>IF(ISERROR(VLOOKUP(MONTH(L5),Inputs!$D$66:$D$71,1,0)),"",INDEX(Inputs!$B$66:$B$71,MATCH(MONTH(Output!L5),Inputs!$D$66:$D$71,0))-INDEX(Inputs!$C$66:$C$71,MATCH(MONTH(Output!L5),Inputs!$D$66:$D$71,0)))</f>
        <v>-10000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</v>
      </c>
      <c r="U7" s="80">
        <f>IF(ISERROR(VLOOKUP(MONTH(U5),Inputs!$D$66:$D$71,1,0)),"",INDEX(Inputs!$B$66:$B$71,MATCH(MONTH(Output!U5),Inputs!$D$66:$D$71,0))-INDEX(Inputs!$C$66:$C$71,MATCH(MONTH(Output!U5),Inputs!$D$66:$D$71,0)))</f>
        <v>-500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10000</v>
      </c>
      <c r="X7" s="80">
        <f>IF(ISERROR(VLOOKUP(MONTH(X5),Inputs!$D$66:$D$71,1,0)),"",INDEX(Inputs!$B$66:$B$71,MATCH(MONTH(Output!X5),Inputs!$D$66:$D$71,0))-INDEX(Inputs!$C$66:$C$71,MATCH(MONTH(Output!X5),Inputs!$D$66:$D$71,0)))</f>
        <v>-10000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148741.0163768349</v>
      </c>
      <c r="C11" s="80">
        <f>C6+C9-C10</f>
        <v>-203989.8499132019</v>
      </c>
      <c r="D11" s="80">
        <f>D6+D9-D10</f>
        <v>24538.78846784699</v>
      </c>
      <c r="E11" s="80">
        <f>E6+E9-E10</f>
        <v>92147.58349493601</v>
      </c>
      <c r="F11" s="80">
        <f>F6+F9-F10</f>
        <v>20927.62335967387</v>
      </c>
      <c r="G11" s="80">
        <f>G6+G9-G10</f>
        <v>-11809.51700432201</v>
      </c>
      <c r="H11" s="80">
        <f>H6+H9-H10</f>
        <v>-10414.83498201149</v>
      </c>
      <c r="I11" s="80">
        <f>I6+I9-I10</f>
        <v>-48145.70127204828</v>
      </c>
      <c r="J11" s="80">
        <f>J6+J9-J10</f>
        <v>30382.93710900062</v>
      </c>
      <c r="K11" s="80">
        <f>K6+K9-K10</f>
        <v>97991.73213608965</v>
      </c>
      <c r="L11" s="80">
        <f>L6+L9-L10</f>
        <v>26367.69546172601</v>
      </c>
      <c r="M11" s="80">
        <f>M6+M9-M10</f>
        <v>-11809.51700432201</v>
      </c>
      <c r="N11" s="80">
        <f>N6+N9-N10</f>
        <v>-10414.83498201149</v>
      </c>
      <c r="O11" s="80">
        <f>O6+O9-O10</f>
        <v>-33145.70127204828</v>
      </c>
      <c r="P11" s="80">
        <f>P6+P9-P10</f>
        <v>45382.93710900062</v>
      </c>
      <c r="Q11" s="80">
        <f>Q6+Q9-Q10</f>
        <v>112991.7321360896</v>
      </c>
      <c r="R11" s="80">
        <f>R6+R9-R10</f>
        <v>41367.69546172601</v>
      </c>
      <c r="S11" s="80">
        <f>S6+S9-S10</f>
        <v>3190.482995677987</v>
      </c>
      <c r="T11" s="80">
        <f>T6+T9-T10</f>
        <v>4585.165017988511</v>
      </c>
      <c r="U11" s="80">
        <f>U6+U9-U10</f>
        <v>-33145.70127204828</v>
      </c>
      <c r="V11" s="80">
        <f>V6+V9-V10</f>
        <v>45382.93710900062</v>
      </c>
      <c r="W11" s="80">
        <f>W6+W9-W10</f>
        <v>112991.7321360896</v>
      </c>
      <c r="X11" s="80">
        <f>X6+X9-X10</f>
        <v>41367.69546172601</v>
      </c>
      <c r="Y11" s="80">
        <f>Y6+Y9-Y10</f>
        <v>3190.482995677987</v>
      </c>
      <c r="Z11" s="85">
        <f>SUMIF($B$13:$Y$13,"Yes",B11:Y11)</f>
        <v>144513.1212481908</v>
      </c>
      <c r="AA11" s="80">
        <f>SUM(B11:M11)</f>
        <v>154927.9562302023</v>
      </c>
      <c r="AB11" s="46">
        <f>SUM(B11:Y11)</f>
        <v>488672.5791270713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0.4227831709121129</v>
      </c>
      <c r="F12" s="82">
        <f>IF(F13="Yes",IF(SUM($B$10:F10)/(SUM($B$6:F6)+SUM($B$9:F9))&lt;0,999.99,SUM($B$10:F10)/(SUM($B$6:F6)+SUM($B$9:F9))),"")</f>
        <v>0.4214514228568977</v>
      </c>
      <c r="G12" s="82">
        <f>IF(G13="Yes",IF(SUM($B$10:G10)/(SUM($B$6:G6)+SUM($B$9:G9))&lt;0,999.99,SUM($B$10:G10)/(SUM($B$6:G6)+SUM($B$9:G9))),"")</f>
        <v>0.5152668597116095</v>
      </c>
      <c r="H12" s="82">
        <f>IF(H13="Yes",IF(SUM($B$10:H10)/(SUM($B$6:H6)+SUM($B$9:H9))&lt;0,999.99,SUM($B$10:H10)/(SUM($B$6:H6)+SUM($B$9:H9))),"")</f>
        <v>0.5994372890357627</v>
      </c>
      <c r="I12" s="82">
        <f>IF(I13="Yes",IF(SUM($B$10:I10)/(SUM($B$6:I6)+SUM($B$9:I9))&lt;0,999.99,SUM($B$10:I10)/(SUM($B$6:I6)+SUM($B$9:I9))),"")</f>
        <v>0.8974734185158927</v>
      </c>
      <c r="J12" s="82">
        <f>IF(J13="Yes",IF(SUM($B$10:J10)/(SUM($B$6:J6)+SUM($B$9:J9))&lt;0,999.99,SUM($B$10:J10)/(SUM($B$6:J6)+SUM($B$9:J9))),"")</f>
        <v>0.7390161615103938</v>
      </c>
      <c r="K12" s="82">
        <f>IF(K13="Yes",IF(SUM($B$10:K10)/(SUM($B$6:K6)+SUM($B$9:K9))&lt;0,999.99,SUM($B$10:K10)/(SUM($B$6:K6)+SUM($B$9:K9))),"")</f>
        <v>0.4902498781525168</v>
      </c>
      <c r="L12" s="82">
        <f>IF(L13="Yes",IF(SUM($B$10:L10)/(SUM($B$6:L6)+SUM($B$9:L9))&lt;0,999.99,SUM($B$10:L10)/(SUM($B$6:L6)+SUM($B$9:L9))),"")</f>
        <v>0.4735783185620552</v>
      </c>
      <c r="M12" s="82">
        <f>IF(M13="Yes",IF(SUM($B$10:M10)/(SUM($B$6:M6)+SUM($B$9:M9))&lt;0,999.99,SUM($B$10:M10)/(SUM($B$6:M6)+SUM($B$9:M9))),"")</f>
        <v>0.5157411122936539</v>
      </c>
      <c r="N12" s="82">
        <f>IF(N13="Yes",IF(SUM($B$10:N10)/(SUM($B$6:N6)+SUM($B$9:N9))&lt;0,999.99,SUM($B$10:N10)/(SUM($B$6:N6)+SUM($B$9:N9))),"")</f>
        <v>0.5546771092264532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9030.866290036793</v>
      </c>
      <c r="C18" s="36">
        <f>O18</f>
        <v>0</v>
      </c>
      <c r="D18" s="36">
        <f>P18</f>
        <v>0</v>
      </c>
      <c r="E18" s="36">
        <f>Q18</f>
        <v>6946.820223105226</v>
      </c>
      <c r="F18" s="36">
        <f>R18</f>
        <v>7641.502245415749</v>
      </c>
      <c r="G18" s="36">
        <f>S18</f>
        <v>8336.18426772627</v>
      </c>
      <c r="H18" s="36">
        <f>T18</f>
        <v>9030.866290036793</v>
      </c>
      <c r="I18" s="36">
        <f>U18</f>
        <v>0</v>
      </c>
      <c r="J18" s="36">
        <f>V18</f>
        <v>0</v>
      </c>
      <c r="K18" s="36">
        <f>W18</f>
        <v>6946.820223105226</v>
      </c>
      <c r="L18" s="36">
        <f>X18</f>
        <v>7641.502245415749</v>
      </c>
      <c r="M18" s="36">
        <f>Y18</f>
        <v>8336.18426772627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9030.866290036793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6946.820223105226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7641.502245415749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8336.18426772627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9030.866290036793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6946.820223105226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7641.502245415749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8336.18426772627</v>
      </c>
      <c r="Z18" s="36">
        <f>SUMIF($B$13:$Y$13,"Yes",B18:Y18)</f>
        <v>72941.61234260487</v>
      </c>
      <c r="AA18" s="36">
        <f>SUM(B18:M18)</f>
        <v>63910.74605256808</v>
      </c>
      <c r="AB18" s="36">
        <f>SUM(B18:Y18)</f>
        <v>127821.4921051362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45528.63838104891</v>
      </c>
      <c r="E19" s="36">
        <f>Q19</f>
        <v>45528.63838104891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45528.63838104891</v>
      </c>
      <c r="K19" s="36">
        <f>W19</f>
        <v>45528.63838104891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45528.63838104891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45528.63838104891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45528.63838104891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45528.63838104891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182114.5535241956</v>
      </c>
      <c r="AA19" s="36">
        <f>SUM(B19:M19)</f>
        <v>182114.5535241956</v>
      </c>
      <c r="AB19" s="36">
        <f>SUM(B19:Y19)</f>
        <v>364229.1070483913</v>
      </c>
      <c r="AC19" s="43"/>
      <c r="AD19" s="43"/>
    </row>
    <row r="20" spans="1:30">
      <c r="A20" t="str">
        <f>IF(Calculations!A6&lt;&gt;Parameters!$A$18,IF(Calculations!A6=0,"",Calculations!A6),Inputs!B9)</f>
        <v>Wheat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65501.89448835854</v>
      </c>
      <c r="F20" s="36">
        <f>R20</f>
        <v>65501.89448835854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65501.89448835854</v>
      </c>
      <c r="L20" s="36">
        <f>X20</f>
        <v>65501.89448835854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65501.89448835854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65501.89448835854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65501.89448835854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65501.89448835854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262007.5779534342</v>
      </c>
      <c r="AA20" s="36">
        <f>SUM(B20:M20)</f>
        <v>262007.5779534342</v>
      </c>
      <c r="AB20" s="36">
        <f>SUM(B20:Y20)</f>
        <v>524015.1559068683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31000</v>
      </c>
      <c r="C29" s="37">
        <f>Inputs!$B$30</f>
        <v>31000</v>
      </c>
      <c r="D29" s="37">
        <f>Inputs!$B$30</f>
        <v>31000</v>
      </c>
      <c r="E29" s="37">
        <f>Inputs!$B$30</f>
        <v>31000</v>
      </c>
      <c r="F29" s="37">
        <f>Inputs!$B$30</f>
        <v>31000</v>
      </c>
      <c r="G29" s="37">
        <f>Inputs!$B$30</f>
        <v>31000</v>
      </c>
      <c r="H29" s="37">
        <f>Inputs!$B$30</f>
        <v>31000</v>
      </c>
      <c r="I29" s="37">
        <f>Inputs!$B$30</f>
        <v>31000</v>
      </c>
      <c r="J29" s="37">
        <f>Inputs!$B$30</f>
        <v>31000</v>
      </c>
      <c r="K29" s="37">
        <f>Inputs!$B$30</f>
        <v>31000</v>
      </c>
      <c r="L29" s="37">
        <f>Inputs!$B$30</f>
        <v>31000</v>
      </c>
      <c r="M29" s="37">
        <f>Inputs!$B$30</f>
        <v>31000</v>
      </c>
      <c r="N29" s="37">
        <f>Inputs!$B$30</f>
        <v>31000</v>
      </c>
      <c r="O29" s="37">
        <f>Inputs!$B$30</f>
        <v>31000</v>
      </c>
      <c r="P29" s="37">
        <f>Inputs!$B$30</f>
        <v>31000</v>
      </c>
      <c r="Q29" s="37">
        <f>Inputs!$B$30</f>
        <v>31000</v>
      </c>
      <c r="R29" s="37">
        <f>Inputs!$B$30</f>
        <v>31000</v>
      </c>
      <c r="S29" s="37">
        <f>Inputs!$B$30</f>
        <v>31000</v>
      </c>
      <c r="T29" s="37">
        <f>Inputs!$B$30</f>
        <v>31000</v>
      </c>
      <c r="U29" s="37">
        <f>Inputs!$B$30</f>
        <v>31000</v>
      </c>
      <c r="V29" s="37">
        <f>Inputs!$B$30</f>
        <v>31000</v>
      </c>
      <c r="W29" s="37">
        <f>Inputs!$B$30</f>
        <v>31000</v>
      </c>
      <c r="X29" s="37">
        <f>Inputs!$B$30</f>
        <v>31000</v>
      </c>
      <c r="Y29" s="37">
        <f>Inputs!$B$30</f>
        <v>31000</v>
      </c>
      <c r="Z29" s="37">
        <f>SUMIF($B$13:$Y$13,"Yes",B29:Y29)</f>
        <v>403000</v>
      </c>
      <c r="AA29" s="37">
        <f>SUM(B29:M29)</f>
        <v>372000</v>
      </c>
      <c r="AB29" s="37">
        <f>SUM(B29:Y29)</f>
        <v>744000</v>
      </c>
    </row>
    <row r="30" spans="1:30" customHeight="1" ht="15.75">
      <c r="A30" s="1" t="s">
        <v>37</v>
      </c>
      <c r="B30" s="19">
        <f>SUM(B18:B29)</f>
        <v>40030.86629003679</v>
      </c>
      <c r="C30" s="19">
        <f>SUM(C18:C29)</f>
        <v>31000</v>
      </c>
      <c r="D30" s="19">
        <f>SUM(D18:D29)</f>
        <v>76528.63838104891</v>
      </c>
      <c r="E30" s="19">
        <f>SUM(E18:E29)</f>
        <v>148977.3530925127</v>
      </c>
      <c r="F30" s="19">
        <f>SUM(F18:F29)</f>
        <v>104143.3967337743</v>
      </c>
      <c r="G30" s="19">
        <f>SUM(G18:G29)</f>
        <v>39336.18426772627</v>
      </c>
      <c r="H30" s="19">
        <f>SUM(H18:H29)</f>
        <v>40030.86629003679</v>
      </c>
      <c r="I30" s="19">
        <f>SUM(I18:I29)</f>
        <v>31000</v>
      </c>
      <c r="J30" s="19">
        <f>SUM(J18:J29)</f>
        <v>76528.63838104891</v>
      </c>
      <c r="K30" s="19">
        <f>SUM(K18:K29)</f>
        <v>148977.3530925127</v>
      </c>
      <c r="L30" s="19">
        <f>SUM(L18:L29)</f>
        <v>104143.3967337743</v>
      </c>
      <c r="M30" s="19">
        <f>SUM(M18:M29)</f>
        <v>39336.18426772627</v>
      </c>
      <c r="N30" s="19">
        <f>SUM(N18:N29)</f>
        <v>40030.86629003679</v>
      </c>
      <c r="O30" s="19">
        <f>SUM(O18:O29)</f>
        <v>31000</v>
      </c>
      <c r="P30" s="19">
        <f>SUM(P18:P29)</f>
        <v>76528.63838104891</v>
      </c>
      <c r="Q30" s="19">
        <f>SUM(Q18:Q29)</f>
        <v>148977.3530925127</v>
      </c>
      <c r="R30" s="19">
        <f>SUM(R18:R29)</f>
        <v>104143.3967337743</v>
      </c>
      <c r="S30" s="19">
        <f>SUM(S18:S29)</f>
        <v>39336.18426772627</v>
      </c>
      <c r="T30" s="19">
        <f>SUM(T18:T29)</f>
        <v>40030.86629003679</v>
      </c>
      <c r="U30" s="19">
        <f>SUM(U18:U29)</f>
        <v>31000</v>
      </c>
      <c r="V30" s="19">
        <f>SUM(V18:V29)</f>
        <v>76528.63838104891</v>
      </c>
      <c r="W30" s="19">
        <f>SUM(W18:W29)</f>
        <v>148977.3530925127</v>
      </c>
      <c r="X30" s="19">
        <f>SUM(X18:X29)</f>
        <v>104143.3967337743</v>
      </c>
      <c r="Y30" s="19">
        <f>SUM(Y18:Y29)</f>
        <v>39336.18426772627</v>
      </c>
      <c r="Z30" s="19">
        <f>SUMIF($B$13:$Y$13,"Yes",B30:Y30)</f>
        <v>920063.7438202347</v>
      </c>
      <c r="AA30" s="19">
        <f>SUM(B30:M30)</f>
        <v>880032.8775301978</v>
      </c>
      <c r="AB30" s="19">
        <f>SUM(B30:Y30)</f>
        <v>1760065.755060396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Wheat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35550</v>
      </c>
      <c r="G42" s="36">
        <f>S42</f>
        <v>5000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35550</v>
      </c>
      <c r="M42" s="36">
        <f>Y42</f>
        <v>5000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35550</v>
      </c>
      <c r="S42" s="36">
        <f>SUM(S43:S47)</f>
        <v>5000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35550</v>
      </c>
      <c r="Y42" s="36">
        <f>SUM(Y43:Y47)</f>
        <v>5000</v>
      </c>
      <c r="Z42" s="36">
        <f>SUMIF($B$13:$Y$13,"Yes",B42:Y42)</f>
        <v>81100</v>
      </c>
      <c r="AA42" s="36">
        <f>SUM(B42:M42)</f>
        <v>81100</v>
      </c>
      <c r="AB42" s="36">
        <f>SUM(B42:Y42)</f>
        <v>162200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5000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5000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5000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5000</v>
      </c>
      <c r="Z43" s="36">
        <f>SUMIF($B$13:$Y$13,"Yes",B43:Y43)</f>
        <v>10000</v>
      </c>
      <c r="AA43" s="36">
        <f>SUM(B43:M43)</f>
        <v>10000</v>
      </c>
      <c r="AB43" s="36">
        <f>SUM(B43:Y43)</f>
        <v>20000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24000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24000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24000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24000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48000</v>
      </c>
      <c r="AA44" s="36">
        <f>SUM(B44:M44)</f>
        <v>48000</v>
      </c>
      <c r="AB44" s="36">
        <f>SUM(B44:Y44)</f>
        <v>96000</v>
      </c>
    </row>
    <row r="45" spans="1:30" hidden="true" outlineLevel="1">
      <c r="A45" s="181" t="str">
        <f>Calculations!$A$6</f>
        <v>Wheat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11550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11550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11550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11550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23100</v>
      </c>
      <c r="AA45" s="36">
        <f>SUM(B45:M45)</f>
        <v>23100</v>
      </c>
      <c r="AB45" s="36">
        <f>SUM(B45:Y45)</f>
        <v>46200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4300</v>
      </c>
      <c r="C48" s="36">
        <f>O48</f>
        <v>33000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4300</v>
      </c>
      <c r="I48" s="36">
        <f>U48</f>
        <v>33000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4300</v>
      </c>
      <c r="O48" s="46">
        <f>SUM(O49:O53)</f>
        <v>33000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4300</v>
      </c>
      <c r="U48" s="46">
        <f>SUM(U49:U53)</f>
        <v>33000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78900</v>
      </c>
      <c r="AA48" s="46">
        <f>SUM(B48:M48)</f>
        <v>74600</v>
      </c>
      <c r="AB48" s="46">
        <f>SUM(B48:Y48)</f>
        <v>149200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6000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6000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6000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6000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 t="str">
        <f>Calculations!$A$5</f>
        <v>Potatoes</v>
      </c>
      <c r="B50" s="36">
        <f>N50</f>
        <v>4300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4300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4300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4300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12900</v>
      </c>
      <c r="AA50" s="46">
        <f>SUM(B50:M50)</f>
        <v>8600</v>
      </c>
      <c r="AB50" s="46">
        <f>SUM(B50:Y50)</f>
        <v>17200</v>
      </c>
    </row>
    <row r="51" spans="1:30" hidden="true" outlineLevel="1">
      <c r="A51" s="181" t="str">
        <f>Calculations!$A$6</f>
        <v>Wheat</v>
      </c>
      <c r="B51" s="36">
        <f>N51</f>
        <v>0</v>
      </c>
      <c r="C51" s="36">
        <f>O51</f>
        <v>27000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27000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27000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27000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54000</v>
      </c>
      <c r="AA51" s="46">
        <f>SUM(B51:M51)</f>
        <v>54000</v>
      </c>
      <c r="AB51" s="46">
        <f>SUM(B51:Y51)</f>
        <v>108000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6015.919684374738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6015.919684374738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6015.919684374738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6015.919684374738</v>
      </c>
      <c r="X54" s="46">
        <f>SUM(X55:X59)</f>
        <v>0</v>
      </c>
      <c r="Y54" s="46">
        <f>SUM(Y55:Y59)</f>
        <v>0</v>
      </c>
      <c r="Z54" s="46">
        <f>SUMIF($B$13:$Y$13,"Yes",B54:Y54)</f>
        <v>12031.83936874948</v>
      </c>
      <c r="AA54" s="46">
        <f>SUM(B54:M54)</f>
        <v>12031.83936874948</v>
      </c>
      <c r="AB54" s="46">
        <f>SUM(B54:Y54)</f>
        <v>24063.67873749895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497.4450571503922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497.4450571503922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497.4450571503922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497.4450571503922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994.8901143007844</v>
      </c>
      <c r="AA55" s="46">
        <f>SUM(B55:M55)</f>
        <v>994.8901143007844</v>
      </c>
      <c r="AB55" s="46">
        <f>SUM(B55:Y55)</f>
        <v>1989.780228601569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5518.474627224346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5518.474627224346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5518.474627224346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5518.474627224346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11036.94925444869</v>
      </c>
      <c r="AA57" s="46">
        <f>SUM(B57:M57)</f>
        <v>11036.94925444869</v>
      </c>
      <c r="AB57" s="46">
        <f>SUM(B57:Y57)</f>
        <v>22073.89850889738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8771</v>
      </c>
      <c r="C66" s="36">
        <f>O66</f>
        <v>8771</v>
      </c>
      <c r="D66" s="36">
        <f>P66</f>
        <v>8771</v>
      </c>
      <c r="E66" s="36">
        <f>Q66</f>
        <v>7594.999999999998</v>
      </c>
      <c r="F66" s="36">
        <f>R66</f>
        <v>4850.999999999999</v>
      </c>
      <c r="G66" s="36">
        <f>S66</f>
        <v>8771</v>
      </c>
      <c r="H66" s="36">
        <f>T66</f>
        <v>8771</v>
      </c>
      <c r="I66" s="36">
        <f>U66</f>
        <v>8771</v>
      </c>
      <c r="J66" s="36">
        <f>V66</f>
        <v>8771</v>
      </c>
      <c r="K66" s="36">
        <f>W66</f>
        <v>7594.999999999998</v>
      </c>
      <c r="L66" s="36">
        <f>X66</f>
        <v>4850.999999999999</v>
      </c>
      <c r="M66" s="36">
        <f>Y66</f>
        <v>8771</v>
      </c>
      <c r="N66" s="46">
        <f>SUM(N67:N71)</f>
        <v>8771</v>
      </c>
      <c r="O66" s="46">
        <f>SUM(O67:O71)</f>
        <v>8771</v>
      </c>
      <c r="P66" s="46">
        <f>SUM(P67:P71)</f>
        <v>8771</v>
      </c>
      <c r="Q66" s="46">
        <f>SUM(Q67:Q71)</f>
        <v>7594.999999999998</v>
      </c>
      <c r="R66" s="46">
        <f>SUM(R67:R71)</f>
        <v>4850.999999999999</v>
      </c>
      <c r="S66" s="46">
        <f>SUM(S67:S71)</f>
        <v>8771</v>
      </c>
      <c r="T66" s="46">
        <f>SUM(T67:T71)</f>
        <v>8771</v>
      </c>
      <c r="U66" s="46">
        <f>SUM(U67:U71)</f>
        <v>8771</v>
      </c>
      <c r="V66" s="46">
        <f>SUM(V67:V71)</f>
        <v>8771</v>
      </c>
      <c r="W66" s="46">
        <f>SUM(W67:W71)</f>
        <v>7594.999999999998</v>
      </c>
      <c r="X66" s="46">
        <f>SUM(X67:X71)</f>
        <v>4850.999999999999</v>
      </c>
      <c r="Y66" s="46">
        <f>SUM(Y67:Y71)</f>
        <v>8771</v>
      </c>
      <c r="Z66" s="46">
        <f>SUMIF($B$13:$Y$13,"Yes",B66:Y66)</f>
        <v>103831</v>
      </c>
      <c r="AA66" s="46">
        <f>SUM(B66:M66)</f>
        <v>95060</v>
      </c>
      <c r="AB66" s="46">
        <f>SUM(B66:Y66)</f>
        <v>190120</v>
      </c>
    </row>
    <row r="67" spans="1:30" hidden="true" outlineLevel="1">
      <c r="A67" s="181" t="str">
        <f>Calculations!$A$4</f>
        <v>Beans</v>
      </c>
      <c r="B67" s="36">
        <f>N67</f>
        <v>3920</v>
      </c>
      <c r="C67" s="36">
        <f>O67</f>
        <v>3920</v>
      </c>
      <c r="D67" s="36">
        <f>P67</f>
        <v>3920</v>
      </c>
      <c r="E67" s="36">
        <f>Q67</f>
        <v>3920</v>
      </c>
      <c r="F67" s="36">
        <f>R67</f>
        <v>0</v>
      </c>
      <c r="G67" s="36">
        <f>S67</f>
        <v>3920</v>
      </c>
      <c r="H67" s="36">
        <f>T67</f>
        <v>3920</v>
      </c>
      <c r="I67" s="36">
        <f>U67</f>
        <v>3920</v>
      </c>
      <c r="J67" s="36">
        <f>V67</f>
        <v>3920</v>
      </c>
      <c r="K67" s="36">
        <f>W67</f>
        <v>3920</v>
      </c>
      <c r="L67" s="36">
        <f>X67</f>
        <v>0</v>
      </c>
      <c r="M67" s="36">
        <f>Y67</f>
        <v>3920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3920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3920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3920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3920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3920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3920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3920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3920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3920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3920</v>
      </c>
      <c r="Z67" s="46">
        <f>SUMIF($B$13:$Y$13,"Yes",B67:Y67)</f>
        <v>43119.99999999999</v>
      </c>
      <c r="AA67" s="46">
        <f>SUM(B67:M67)</f>
        <v>39199.99999999999</v>
      </c>
      <c r="AB67" s="46">
        <f>SUM(B67:Y67)</f>
        <v>78399.99999999999</v>
      </c>
    </row>
    <row r="68" spans="1:30" hidden="true" outlineLevel="1">
      <c r="A68" s="181" t="str">
        <f>Calculations!$A$5</f>
        <v>Potatoes</v>
      </c>
      <c r="B68" s="36">
        <f>N68</f>
        <v>1176</v>
      </c>
      <c r="C68" s="36">
        <f>O68</f>
        <v>1176</v>
      </c>
      <c r="D68" s="36">
        <f>P68</f>
        <v>1176</v>
      </c>
      <c r="E68" s="36">
        <f>Q68</f>
        <v>0</v>
      </c>
      <c r="F68" s="36">
        <f>R68</f>
        <v>1176</v>
      </c>
      <c r="G68" s="36">
        <f>S68</f>
        <v>1176</v>
      </c>
      <c r="H68" s="36">
        <f>T68</f>
        <v>1176</v>
      </c>
      <c r="I68" s="36">
        <f>U68</f>
        <v>1176</v>
      </c>
      <c r="J68" s="36">
        <f>V68</f>
        <v>1176</v>
      </c>
      <c r="K68" s="36">
        <f>W68</f>
        <v>0</v>
      </c>
      <c r="L68" s="36">
        <f>X68</f>
        <v>1176</v>
      </c>
      <c r="M68" s="36">
        <f>Y68</f>
        <v>1176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1176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1176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1176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1176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1176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1176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1176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1176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1176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1176</v>
      </c>
      <c r="Z68" s="46">
        <f>SUMIF($B$13:$Y$13,"Yes",B68:Y68)</f>
        <v>12936</v>
      </c>
      <c r="AA68" s="46">
        <f>SUM(B68:M68)</f>
        <v>11760</v>
      </c>
      <c r="AB68" s="46">
        <f>SUM(B68:Y68)</f>
        <v>23520</v>
      </c>
    </row>
    <row r="69" spans="1:30" hidden="true" outlineLevel="1">
      <c r="A69" s="181" t="str">
        <f>Calculations!$A$6</f>
        <v>Wheat</v>
      </c>
      <c r="B69" s="36">
        <f>N69</f>
        <v>3674.999999999999</v>
      </c>
      <c r="C69" s="36">
        <f>O69</f>
        <v>3674.999999999999</v>
      </c>
      <c r="D69" s="36">
        <f>P69</f>
        <v>3674.999999999999</v>
      </c>
      <c r="E69" s="36">
        <f>Q69</f>
        <v>3674.999999999999</v>
      </c>
      <c r="F69" s="36">
        <f>R69</f>
        <v>3674.999999999999</v>
      </c>
      <c r="G69" s="36">
        <f>S69</f>
        <v>3674.999999999999</v>
      </c>
      <c r="H69" s="36">
        <f>T69</f>
        <v>3674.999999999999</v>
      </c>
      <c r="I69" s="36">
        <f>U69</f>
        <v>3674.999999999999</v>
      </c>
      <c r="J69" s="36">
        <f>V69</f>
        <v>3674.999999999999</v>
      </c>
      <c r="K69" s="36">
        <f>W69</f>
        <v>3674.999999999999</v>
      </c>
      <c r="L69" s="36">
        <f>X69</f>
        <v>3674.999999999999</v>
      </c>
      <c r="M69" s="36">
        <f>Y69</f>
        <v>3674.999999999999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3674.999999999999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3674.999999999999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3674.999999999999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3674.999999999999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3674.999999999999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3674.999999999999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3674.999999999999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3674.999999999999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3674.999999999999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3674.999999999999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3674.999999999999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3674.999999999999</v>
      </c>
      <c r="Z69" s="46">
        <f>SUMIF($B$13:$Y$13,"Yes",B69:Y69)</f>
        <v>47774.99999999999</v>
      </c>
      <c r="AA69" s="46">
        <f>SUM(B69:M69)</f>
        <v>44099.99999999999</v>
      </c>
      <c r="AB69" s="46">
        <f>SUM(B69:Y69)</f>
        <v>88199.99999999999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150000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19374.70127204828</v>
      </c>
      <c r="C81" s="46">
        <f>(SUM($AA$18:$AA$29)-SUM($AA$36,$AA$42,$AA$48,$AA$54,$AA$60,$AA$66,$AA$72:$AA$79))*Parameters!$B$37/12</f>
        <v>19374.70127204828</v>
      </c>
      <c r="D81" s="46">
        <f>(SUM($AA$18:$AA$29)-SUM($AA$36,$AA$42,$AA$48,$AA$54,$AA$60,$AA$66,$AA$72:$AA$79))*Parameters!$B$37/12</f>
        <v>19374.70127204828</v>
      </c>
      <c r="E81" s="46">
        <f>(SUM($AA$18:$AA$29)-SUM($AA$36,$AA$42,$AA$48,$AA$54,$AA$60,$AA$66,$AA$72:$AA$79))*Parameters!$B$37/12</f>
        <v>19374.70127204828</v>
      </c>
      <c r="F81" s="46">
        <f>(SUM($AA$18:$AA$29)-SUM($AA$36,$AA$42,$AA$48,$AA$54,$AA$60,$AA$66,$AA$72:$AA$79))*Parameters!$B$37/12</f>
        <v>19374.70127204828</v>
      </c>
      <c r="G81" s="46">
        <f>(SUM($AA$18:$AA$29)-SUM($AA$36,$AA$42,$AA$48,$AA$54,$AA$60,$AA$66,$AA$72:$AA$79))*Parameters!$B$37/12</f>
        <v>19374.70127204828</v>
      </c>
      <c r="H81" s="46">
        <f>(SUM($AA$18:$AA$29)-SUM($AA$36,$AA$42,$AA$48,$AA$54,$AA$60,$AA$66,$AA$72:$AA$79))*Parameters!$B$37/12</f>
        <v>19374.70127204828</v>
      </c>
      <c r="I81" s="46">
        <f>(SUM($AA$18:$AA$29)-SUM($AA$36,$AA$42,$AA$48,$AA$54,$AA$60,$AA$66,$AA$72:$AA$79))*Parameters!$B$37/12</f>
        <v>19374.70127204828</v>
      </c>
      <c r="J81" s="46">
        <f>(SUM($AA$18:$AA$29)-SUM($AA$36,$AA$42,$AA$48,$AA$54,$AA$60,$AA$66,$AA$72:$AA$79))*Parameters!$B$37/12</f>
        <v>19374.70127204828</v>
      </c>
      <c r="K81" s="46">
        <f>(SUM($AA$18:$AA$29)-SUM($AA$36,$AA$42,$AA$48,$AA$54,$AA$60,$AA$66,$AA$72:$AA$79))*Parameters!$B$37/12</f>
        <v>19374.70127204828</v>
      </c>
      <c r="L81" s="46">
        <f>(SUM($AA$18:$AA$29)-SUM($AA$36,$AA$42,$AA$48,$AA$54,$AA$60,$AA$66,$AA$72:$AA$79))*Parameters!$B$37/12</f>
        <v>19374.70127204828</v>
      </c>
      <c r="M81" s="46">
        <f>(SUM($AA$18:$AA$29)-SUM($AA$36,$AA$42,$AA$48,$AA$54,$AA$60,$AA$66,$AA$72:$AA$79))*Parameters!$B$37/12</f>
        <v>19374.70127204828</v>
      </c>
      <c r="N81" s="46">
        <f>(SUM($AA$18:$AA$29)-SUM($AA$36,$AA$42,$AA$48,$AA$54,$AA$60,$AA$66,$AA$72:$AA$79))*Parameters!$B$37/12</f>
        <v>19374.70127204828</v>
      </c>
      <c r="O81" s="46">
        <f>(SUM($AA$18:$AA$29)-SUM($AA$36,$AA$42,$AA$48,$AA$54,$AA$60,$AA$66,$AA$72:$AA$79))*Parameters!$B$37/12</f>
        <v>19374.70127204828</v>
      </c>
      <c r="P81" s="46">
        <f>(SUM($AA$18:$AA$29)-SUM($AA$36,$AA$42,$AA$48,$AA$54,$AA$60,$AA$66,$AA$72:$AA$79))*Parameters!$B$37/12</f>
        <v>19374.70127204828</v>
      </c>
      <c r="Q81" s="46">
        <f>(SUM($AA$18:$AA$29)-SUM($AA$36,$AA$42,$AA$48,$AA$54,$AA$60,$AA$66,$AA$72:$AA$79))*Parameters!$B$37/12</f>
        <v>19374.70127204828</v>
      </c>
      <c r="R81" s="46">
        <f>(SUM($AA$18:$AA$29)-SUM($AA$36,$AA$42,$AA$48,$AA$54,$AA$60,$AA$66,$AA$72:$AA$79))*Parameters!$B$37/12</f>
        <v>19374.70127204828</v>
      </c>
      <c r="S81" s="46">
        <f>(SUM($AA$18:$AA$29)-SUM($AA$36,$AA$42,$AA$48,$AA$54,$AA$60,$AA$66,$AA$72:$AA$79))*Parameters!$B$37/12</f>
        <v>19374.70127204828</v>
      </c>
      <c r="T81" s="46">
        <f>(SUM($AA$18:$AA$29)-SUM($AA$36,$AA$42,$AA$48,$AA$54,$AA$60,$AA$66,$AA$72:$AA$79))*Parameters!$B$37/12</f>
        <v>19374.70127204828</v>
      </c>
      <c r="U81" s="46">
        <f>(SUM($AA$18:$AA$29)-SUM($AA$36,$AA$42,$AA$48,$AA$54,$AA$60,$AA$66,$AA$72:$AA$79))*Parameters!$B$37/12</f>
        <v>19374.70127204828</v>
      </c>
      <c r="V81" s="46">
        <f>(SUM($AA$18:$AA$29)-SUM($AA$36,$AA$42,$AA$48,$AA$54,$AA$60,$AA$66,$AA$72:$AA$79))*Parameters!$B$37/12</f>
        <v>19374.70127204828</v>
      </c>
      <c r="W81" s="46">
        <f>(SUM($AA$18:$AA$29)-SUM($AA$36,$AA$42,$AA$48,$AA$54,$AA$60,$AA$66,$AA$72:$AA$79))*Parameters!$B$37/12</f>
        <v>19374.70127204828</v>
      </c>
      <c r="X81" s="46">
        <f>(SUM($AA$18:$AA$29)-SUM($AA$36,$AA$42,$AA$48,$AA$54,$AA$60,$AA$66,$AA$72:$AA$79))*Parameters!$B$37/12</f>
        <v>19374.70127204828</v>
      </c>
      <c r="Y81" s="46">
        <f>(SUM($AA$18:$AA$29)-SUM($AA$36,$AA$42,$AA$48,$AA$54,$AA$60,$AA$66,$AA$72:$AA$79))*Parameters!$B$37/12</f>
        <v>19374.70127204828</v>
      </c>
      <c r="Z81" s="46">
        <f>SUMIF($B$13:$Y$13,"Yes",B81:Y81)</f>
        <v>251871.1165366277</v>
      </c>
      <c r="AA81" s="46">
        <f>SUM(B81:M81)</f>
        <v>232496.4152645794</v>
      </c>
      <c r="AB81" s="46">
        <f>SUM(B81:Y81)</f>
        <v>464992.8305291589</v>
      </c>
    </row>
    <row r="82" spans="1:30">
      <c r="A82" s="16" t="s">
        <v>52</v>
      </c>
      <c r="B82" s="46">
        <f>SUM(B83:B87)</f>
        <v>5844.148641153633</v>
      </c>
      <c r="C82" s="46">
        <f>SUM(C83:C87)</f>
        <v>5844.148641153633</v>
      </c>
      <c r="D82" s="46">
        <f>SUM(D83:D87)</f>
        <v>5844.148641153633</v>
      </c>
      <c r="E82" s="46">
        <f>SUM(E83:E87)</f>
        <v>5844.148641153633</v>
      </c>
      <c r="F82" s="46">
        <f>SUM(F83:F87)</f>
        <v>5440.072102052135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28816.66666666666</v>
      </c>
      <c r="AA82" s="46">
        <f>SUM(B82:M82)</f>
        <v>28816.66666666666</v>
      </c>
      <c r="AB82" s="46">
        <f>SUM(B82:Y82)</f>
        <v>28816.66666666666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5844.148641153633</v>
      </c>
      <c r="C83" s="46">
        <f>IF(Calculations!$E23&gt;COUNT(Output!$B$35:C$35),Calculations!$B23,IF(Calculations!$E23=COUNT(Output!$B$35:C$35),Inputs!$B56-Calculations!$C23*(Calculations!$E23-1)+Calculations!$D23,0))</f>
        <v>5844.148641153633</v>
      </c>
      <c r="D83" s="46">
        <f>IF(Calculations!$E23&gt;COUNT(Output!$B$35:D$35),Calculations!$B23,IF(Calculations!$E23=COUNT(Output!$B$35:D$35),Inputs!$B56-Calculations!$C23*(Calculations!$E23-1)+Calculations!$D23,0))</f>
        <v>5844.148641153633</v>
      </c>
      <c r="E83" s="46">
        <f>IF(Calculations!$E23&gt;COUNT(Output!$B$35:E$35),Calculations!$B23,IF(Calculations!$E23=COUNT(Output!$B$35:E$35),Inputs!$B56-Calculations!$C23*(Calculations!$E23-1)+Calculations!$D23,0))</f>
        <v>5844.148641153633</v>
      </c>
      <c r="F83" s="46">
        <f>IF(Calculations!$E23&gt;COUNT(Output!$B$35:F$35),Calculations!$B23,IF(Calculations!$E23=COUNT(Output!$B$35:F$35),Inputs!$B56-Calculations!$C23*(Calculations!$E23-1)+Calculations!$D23,0))</f>
        <v>5440.072102052135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28816.66666666666</v>
      </c>
      <c r="AA83" s="46">
        <f>SUM(B83:M83)</f>
        <v>28816.66666666666</v>
      </c>
      <c r="AB83" s="46">
        <f>SUM(B83:Y83)</f>
        <v>28816.66666666666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41289.84991320191</v>
      </c>
      <c r="C88" s="19">
        <f>SUM(C72:C82,C66,C60,C54,C48,C42,C36)</f>
        <v>219989.8499132019</v>
      </c>
      <c r="D88" s="19">
        <f>SUM(D72:D82,D66,D60,D54,D48,D42,D36)</f>
        <v>36989.84991320191</v>
      </c>
      <c r="E88" s="19">
        <f>SUM(E72:E82,E66,E60,E54,E48,E42,E36)</f>
        <v>41829.76959757665</v>
      </c>
      <c r="F88" s="19">
        <f>SUM(F72:F82,F66,F60,F54,F48,F42,F36)</f>
        <v>68215.77337410042</v>
      </c>
      <c r="G88" s="19">
        <f>SUM(G72:G82,G66,G60,G54,G48,G42,G36)</f>
        <v>36145.70127204828</v>
      </c>
      <c r="H88" s="19">
        <f>SUM(H72:H82,H66,H60,H54,H48,H42,H36)</f>
        <v>35445.70127204828</v>
      </c>
      <c r="I88" s="19">
        <f>SUM(I72:I82,I66,I60,I54,I48,I42,I36)</f>
        <v>64145.70127204828</v>
      </c>
      <c r="J88" s="19">
        <f>SUM(J72:J82,J66,J60,J54,J48,J42,J36)</f>
        <v>31145.70127204828</v>
      </c>
      <c r="K88" s="19">
        <f>SUM(K72:K82,K66,K60,K54,K48,K42,K36)</f>
        <v>35985.62095642302</v>
      </c>
      <c r="L88" s="19">
        <f>SUM(L72:L82,L66,L60,L54,L48,L42,L36)</f>
        <v>62775.70127204828</v>
      </c>
      <c r="M88" s="19">
        <f>SUM(M72:M82,M66,M60,M54,M48,M42,M36)</f>
        <v>36145.70127204828</v>
      </c>
      <c r="N88" s="19">
        <f>SUM(N72:N82,N66,N60,N54,N48,N42,N36)</f>
        <v>35445.70127204828</v>
      </c>
      <c r="O88" s="19">
        <f>SUM(O72:O82,O66,O60,O54,O48,O42,O36)</f>
        <v>64145.70127204828</v>
      </c>
      <c r="P88" s="19">
        <f>SUM(P72:P82,P66,P60,P54,P48,P42,P36)</f>
        <v>31145.70127204828</v>
      </c>
      <c r="Q88" s="19">
        <f>SUM(Q72:Q82,Q66,Q60,Q54,Q48,Q42,Q36)</f>
        <v>35985.62095642302</v>
      </c>
      <c r="R88" s="19">
        <f>SUM(R72:R82,R66,R60,R54,R48,R42,R36)</f>
        <v>62775.70127204828</v>
      </c>
      <c r="S88" s="19">
        <f>SUM(S72:S82,S66,S60,S54,S48,S42,S36)</f>
        <v>36145.70127204828</v>
      </c>
      <c r="T88" s="19">
        <f>SUM(T72:T82,T66,T60,T54,T48,T42,T36)</f>
        <v>35445.70127204828</v>
      </c>
      <c r="U88" s="19">
        <f>SUM(U72:U82,U66,U60,U54,U48,U42,U36)</f>
        <v>64145.70127204828</v>
      </c>
      <c r="V88" s="19">
        <f>SUM(V72:V82,V66,V60,V54,V48,V42,V36)</f>
        <v>31145.70127204828</v>
      </c>
      <c r="W88" s="19">
        <f>SUM(W72:W82,W66,W60,W54,W48,W42,W36)</f>
        <v>35985.62095642302</v>
      </c>
      <c r="X88" s="19">
        <f>SUM(X72:X82,X66,X60,X54,X48,X42,X36)</f>
        <v>62775.70127204828</v>
      </c>
      <c r="Y88" s="19">
        <f>SUM(Y72:Y82,Y66,Y60,Y54,Y48,Y42,Y36)</f>
        <v>36145.70127204828</v>
      </c>
      <c r="Z88" s="19">
        <f>SUMIF($B$13:$Y$13,"Yes",B88:Y88)</f>
        <v>745550.6225720438</v>
      </c>
      <c r="AA88" s="19">
        <f>SUM(B88:M88)</f>
        <v>710104.9212999955</v>
      </c>
      <c r="AB88" s="19">
        <f>SUM(B88:Y88)</f>
        <v>1241393.175933324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4080000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19650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179650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3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3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31000</v>
      </c>
    </row>
    <row r="31" spans="1:48">
      <c r="A31" s="5" t="s">
        <v>117</v>
      </c>
      <c r="B31" s="158">
        <v>3000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150000</v>
      </c>
      <c r="C35" s="145" t="s">
        <v>124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1200000</v>
      </c>
    </row>
    <row r="46" spans="1:48" customHeight="1" ht="30">
      <c r="A46" s="57" t="s">
        <v>133</v>
      </c>
      <c r="B46" s="161">
        <v>300000</v>
      </c>
    </row>
    <row r="47" spans="1:48" customHeight="1" ht="30">
      <c r="A47" s="57" t="s">
        <v>134</v>
      </c>
      <c r="B47" s="161">
        <v>400000</v>
      </c>
    </row>
    <row r="48" spans="1:48" customHeight="1" ht="30">
      <c r="A48" s="57" t="s">
        <v>135</v>
      </c>
      <c r="B48" s="161">
        <v>50000</v>
      </c>
    </row>
    <row r="49" spans="1:48" customHeight="1" ht="30">
      <c r="A49" s="57" t="s">
        <v>136</v>
      </c>
      <c r="B49" s="161">
        <v>30000</v>
      </c>
    </row>
    <row r="50" spans="1:48">
      <c r="A50" s="43"/>
      <c r="B50" s="36"/>
    </row>
    <row r="51" spans="1:48">
      <c r="A51" s="58" t="s">
        <v>137</v>
      </c>
      <c r="B51" s="161">
        <v>10000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19650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140000</v>
      </c>
      <c r="C66" s="163">
        <v>140000</v>
      </c>
      <c r="D66" s="49">
        <f>INDEX(Parameters!$D$79:$D$90,MATCH(Inputs!A66,Parameters!$C$79:$C$90,0))</f>
        <v>10</v>
      </c>
    </row>
    <row r="67" spans="1:48">
      <c r="A67" s="143" t="s">
        <v>152</v>
      </c>
      <c r="B67" s="157">
        <v>180000</v>
      </c>
      <c r="C67" s="165">
        <v>190000</v>
      </c>
      <c r="D67" s="49">
        <f>INDEX(Parameters!$D$79:$D$90,MATCH(Inputs!A67,Parameters!$C$79:$C$90,0))</f>
        <v>9</v>
      </c>
    </row>
    <row r="68" spans="1:48">
      <c r="A68" s="143" t="s">
        <v>153</v>
      </c>
      <c r="B68" s="157">
        <v>190000</v>
      </c>
      <c r="C68" s="165">
        <v>180000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65000</v>
      </c>
      <c r="C69" s="165">
        <v>65000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48000</v>
      </c>
      <c r="C70" s="165">
        <v>48500</v>
      </c>
      <c r="D70" s="49">
        <f>INDEX(Parameters!$D$79:$D$90,MATCH(Inputs!A70,Parameters!$C$79:$C$90,0))</f>
        <v>6</v>
      </c>
    </row>
    <row r="71" spans="1:48">
      <c r="A71" s="144" t="s">
        <v>156</v>
      </c>
      <c r="B71" s="158">
        <v>45000</v>
      </c>
      <c r="C71" s="167">
        <v>44500</v>
      </c>
      <c r="D71" s="49">
        <f>INDEX(Parameters!$D$79:$D$90,MATCH(Inputs!A71,Parameters!$C$79:$C$90,0))</f>
        <v>5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150000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1193.868137160941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55574.5617848418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497.4450571503922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8558.01473327987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182114.5535241956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8400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Wheat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43252</v>
      </c>
      <c r="D6" s="39">
        <f>IFERROR(DATE(YEAR(B6),MONTH(B6)+T6,DAY(B6)),"")</f>
        <v>43313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43435</v>
      </c>
      <c r="G6" s="39">
        <f>IFERROR(IF($S6=0,"",IF($S6=2,DATE(YEAR(D6),MONTH(D6)+6,DAY(D6)),IF($S6=1,D6,""))),"")</f>
        <v>43497</v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1599.557862963579</v>
      </c>
      <c r="M6" s="30">
        <f>L6*H6</f>
        <v>4798.673588890736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27.3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262007.5779534342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11550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27000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5518.474627224346</v>
      </c>
      <c r="AB6" s="34">
        <f>H6*IFERROR(INDEX(Parameters!$A$3:$AI$17,MATCH(Calculations!A6,Parameters!$A$3:$A$17,0),MATCH(Parameters!$O$3,Parameters!$A$3:$AI$3,0)),AVERAGE(Parameters!$O$4:$O$17))*(1-Inputs!$B$25/100)</f>
        <v>31500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</v>
      </c>
      <c r="B23" s="75">
        <f>SUM(C23:D23)</f>
        <v>5844.148641153633</v>
      </c>
      <c r="C23" s="75">
        <f>IF(Inputs!B56&gt;0,(Inputs!A56-Inputs!B56)/(DATE(YEAR(Inputs!$B$76),MONTH(Inputs!$B$76),DAY(Inputs!$B$76))-DATE(YEAR(Inputs!C56),MONTH(Inputs!C56),DAY(Inputs!C56)))*30,0)</f>
        <v>4010.815307820299</v>
      </c>
      <c r="D23" s="75">
        <f>IF(Inputs!B56&gt;0,Inputs!A56*0.22/12,0)</f>
        <v>1833.333333333333</v>
      </c>
      <c r="E23" s="75">
        <f>IFERROR(ROUNDUP(Inputs!B56/C23,0),0)</f>
        <v>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43071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162</v>
      </c>
      <c r="G33" s="128">
        <f>IF(Inputs!B79="","",DATE(YEAR(Inputs!B79),MONTH(Inputs!B79),DAY(Inputs!B79)))</f>
        <v>43041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43102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163</v>
      </c>
      <c r="G34" s="128">
        <f>IF(Inputs!B80="","",DATE(YEAR(Inputs!B80),MONTH(Inputs!B80),DAY(Inputs!B80)))</f>
        <v>43071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43133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165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43161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43192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43222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43253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43283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43314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229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43345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230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43375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43406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130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130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168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96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124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