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<sst xmlns="http://schemas.openxmlformats.org/spreadsheetml/2006/main" uniqueCount="373">
  <si>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</si>
  <si>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</si>
  <si>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</si>
  <si>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</si>
  <si>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</si>
  <si>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</si>
  <si>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</si>
  <si>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</si>
  <si>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</si>
  <si>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</si>
  <si>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</si>
  <si>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</si>
  <si>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</si>
  <si>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</si>
  <si>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</si>
  <si>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</si>
  <si>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</si>
  <si>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</si>
  <si>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</si>
  <si>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</si>
  <si>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</si>
  <si>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</si>
  <si>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</si>
  <si>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</si>
  <si>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</si>
  <si>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</si>
  <si>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</si>
  <si>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</si>
  <si>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</si>
  <si>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</si>
  <si>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</si>
  <si>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</si>
  <si>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</si>
  <si>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</si>
  <si>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</si>
  <si>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</si>
  <si>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</si>
  <si>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</si>
  <si>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</si>
  <si>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</si>
  <si>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</si>
  <si>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</si>
  <si>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</si>
  <si>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</si>
  <si>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</si>
  <si>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</si>
  <si>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</si>
  <si>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</si>
  <si>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</si>
  <si>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</si>
  <si>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</si>
  <si>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</si>
  <si>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</si>
  <si>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</si>
  <si>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</si>
  <si>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</si>
  <si>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</si>
  <si>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</si>
  <si>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</si>
  <si>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</si>
  <si>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</si>
  <si>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</si>
  <si>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</si>
  <si>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</si>
  <si>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</si>
  <si>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</si>
  <si>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</si>
  <si>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</si>
  <si>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</si>
  <si>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</si>
  <si>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</si>
  <si>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</si>
  <si>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</si>
  <si>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</si>
  <si>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</si>
  <si>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</si>
  <si>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</si>
  <si>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</si>
  <si>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</si>
  <si>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</si>
  <si>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</si>
  <si>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</si>
  <si>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</si>
  <si>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</si>
  <si>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</si>
  <si>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</si>
  <si>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</si>
  <si>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</si>
  <si>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</si>
  <si>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</si>
  <si>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</si>
  <si>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</si>
  <si>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</si>
  <si>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Yes using a diesel pump</t>
  </si>
  <si>
    <t>November</t>
  </si>
  <si>
    <t>Maize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</si>
  <si>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</si>
  <si>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</si>
  <si>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</si>
  <si>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</si>
  <si>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</si>
  <si>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</si>
  <si>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</si>
  <si>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</si>
  <si>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</si>
  <si>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</si>
  <si>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</si>
  <si>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</si>
  <si>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</si>
  <si>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</si>
  <si>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</si>
  <si>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</si>
  <si>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</si>
  <si>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Job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</si>
  <si>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</si>
  <si>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</si>
  <si>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</si>
  <si>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</si>
  <si>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</si>
  <si>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</si>
  <si>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</si>
  <si>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rentals</t>
  </si>
  <si>
    <t>July</t>
  </si>
  <si>
    <t>transport</t>
  </si>
  <si>
    <t>March</t>
  </si>
  <si>
    <t>Assets and liabilities</t>
  </si>
  <si>
    <t>Is the land yours?</t>
  </si>
  <si>
    <t>No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</si>
  <si>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</si>
  <si>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</si>
  <si>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</si>
  <si>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</si>
  <si>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</si>
  <si>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</si>
  <si>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</si>
  <si>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</si>
  <si>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</si>
  <si>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</si>
  <si>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</si>
  <si>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</si>
  <si>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</si>
  <si>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</si>
  <si>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</si>
  <si>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</si>
  <si>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</si>
  <si>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</si>
  <si>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6/21/2017</t>
  </si>
  <si>
    <t>Eclof</t>
  </si>
  <si>
    <t>timely payment</t>
  </si>
  <si>
    <t>2/20/2017</t>
  </si>
  <si>
    <t>Musoni</t>
  </si>
  <si>
    <t>timely repayments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</si>
  <si>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</si>
  <si>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</si>
  <si>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</si>
  <si>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</si>
  <si>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</si>
  <si>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</si>
  <si>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June</t>
  </si>
  <si>
    <t>May</t>
  </si>
  <si>
    <t>Loan info</t>
  </si>
  <si>
    <t>Branch ID</t>
  </si>
  <si>
    <t>Submission date</t>
  </si>
  <si>
    <t>2017/11/9</t>
  </si>
  <si>
    <t>Loan terms</t>
  </si>
  <si>
    <t>Expected disbursement date</t>
  </si>
  <si>
    <t>Expected first repayment date</t>
  </si>
  <si>
    <t>2017/12/9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</si>
  <si>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</si>
  <si>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</si>
  <si>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</si>
  <si>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</si>
  <si>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</si>
  <si>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</si>
  <si>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</si>
  <si>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</si>
  <si>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</si>
  <si>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</si>
  <si>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</si>
  <si>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</si>
  <si>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</si>
  <si>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</si>
  <si>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</si>
  <si>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</si>
  <si>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</si>
  <si>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</si>
  <si>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</si>
  <si>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</si>
  <si>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</si>
  <si>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</si>
  <si>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</si>
  <si>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</si>
  <si>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</si>
  <si>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</si>
  <si>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</si>
  <si>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</si>
  <si>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</si>
  <si>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</si>
  <si>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</si>
  <si>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</si>
  <si>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</si>
  <si>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</si>
  <si>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</si>
  <si>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</si>
  <si>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</si>
  <si>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</si>
  <si>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</si>
  <si>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</si>
  <si>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</si>
  <si>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</si>
  <si>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</si>
  <si>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</si>
  <si>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</si>
  <si>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</si>
  <si>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</si>
  <si>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</si>
  <si>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</si>
  <si>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</si>
  <si>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</si>
  <si>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</si>
  <si>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</si>
  <si>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</si>
  <si>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</si>
  <si>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</si>
  <si>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</si>
  <si>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</si>
  <si>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</si>
  <si>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</si>
  <si>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</si>
  <si>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</si>
  <si>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</si>
  <si>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</si>
  <si>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</si>
  <si>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</si>
  <si>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</si>
  <si>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</si>
  <si>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</si>
  <si>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</si>
  <si>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</si>
  <si>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</si>
  <si>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</si>
  <si>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</si>
  <si>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</si>
  <si>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</si>
  <si>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</si>
  <si>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</si>
  <si>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</si>
  <si>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</si>
  <si>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</si>
  <si>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</si>
  <si>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</si>
  <si>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</si>
  <si>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</si>
  <si>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</si>
  <si>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</si>
  <si>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</si>
  <si>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</si>
  <si>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</si>
  <si>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</si>
  <si>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</si>
  <si>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</si>
  <si>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</si>
  <si>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</si>
  <si>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</si>
  <si>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</si>
  <si>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</si>
  <si>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</si>
  <si>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</si>
  <si>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</si>
  <si>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</si>
  <si>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</si>
  <si>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</si>
  <si>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</si>
  <si>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</si>
  <si>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</si>
  <si>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</si>
  <si>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</si>
  <si>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</si>
  <si>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</si>
  <si>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</si>
  <si>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</si>
  <si>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</si>
  <si>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</si>
  <si>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</si>
  <si>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</si>
  <si>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</si>
  <si>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</si>
  <si>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</si>
  <si>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</si>
  <si>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</si>
  <si>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</si>
  <si>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</si>
  <si>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</si>
  <si>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</si>
  <si>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</si>
  <si>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</si>
  <si>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</si>
  <si>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</si>
  <si>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</si>
  <si>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</si>
  <si>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</si>
  <si>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</si>
  <si>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</si>
  <si>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</si>
  <si>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</si>
  <si>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</si>
  <si>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</si>
  <si>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</si>
  <si>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</si>
  <si>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</si>
  <si>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</si>
  <si>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</si>
  <si>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</si>
  <si>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</si>
  <si>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</si>
  <si>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</si>
  <si>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</si>
  <si>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</si>
  <si>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</si>
  <si>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</si>
  <si>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</si>
  <si>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</si>
  <si>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</si>
  <si>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</si>
  <si>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</si>
  <si>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</si>
  <si>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</si>
  <si>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</si>
  <si>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</si>
  <si>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</si>
  <si>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</si>
  <si>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</si>
  <si>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</si>
  <si>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</si>
  <si>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</si>
  <si>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</si>
  <si>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</si>
  <si>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</si>
  <si>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</si>
  <si>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</si>
  <si>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</si>
  <si>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</si>
  <si>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</si>
  <si>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</si>
  <si>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</si>
  <si>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</si>
  <si>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</si>
  <si>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</si>
  <si>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</si>
  <si>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</si>
  <si>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</si>
  <si>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</si>
  <si>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</si>
  <si>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</si>
  <si>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</si>
  <si>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</si>
  <si>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</si>
  <si>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</si>
  <si>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</si>
  <si>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</si>
  <si>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</si>
  <si>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</si>
  <si>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</si>
  <si>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</si>
  <si>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</si>
  <si>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</si>
  <si>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</si>
  <si>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</si>
  <si>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</si>
  <si>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</si>
  <si>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NGO</t>
  </si>
  <si>
    <t>April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</si>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</sst>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Job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0.1293417525773196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11666.66666666667</v>
      </c>
    </row>
    <row r="17" spans="1:7">
      <c r="B17" s="1" t="s">
        <v>11</v>
      </c>
      <c r="C17" s="36">
        <f>SUM(Output!B6:M6)</f>
        <v>-2226005.847745759</v>
      </c>
    </row>
    <row r="18" spans="1:7">
      <c r="B18" s="1" t="s">
        <v>12</v>
      </c>
      <c r="C18" s="36">
        <f>MIN(Output!B6:M6)</f>
        <v>-1990026.952903013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2018</v>
      </c>
    </row>
    <row r="20" spans="1:7">
      <c r="B20" s="1" t="s">
        <v>14</v>
      </c>
      <c r="C20" s="36">
        <f>MAX(Output!B6:M6)</f>
        <v>23815.96720932399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-33257.91744202049</v>
      </c>
      <c r="C6" s="51">
        <f>C30-C88</f>
        <v>-2198.584108687159</v>
      </c>
      <c r="D6" s="51">
        <f>D30-D88</f>
        <v>-2498.584108687159</v>
      </c>
      <c r="E6" s="51">
        <f>E30-E88</f>
        <v>-2198.584108687159</v>
      </c>
      <c r="F6" s="51">
        <f>F30-F88</f>
        <v>-290626.7213141214</v>
      </c>
      <c r="G6" s="51">
        <f>G30-G88</f>
        <v>23815.96720932399</v>
      </c>
      <c r="H6" s="51">
        <f>H30-H88</f>
        <v>7970.0470969866</v>
      </c>
      <c r="I6" s="51">
        <f>I30-I88</f>
        <v>10273.0470969866</v>
      </c>
      <c r="J6" s="51">
        <f>J30-J88</f>
        <v>-1990026.952903013</v>
      </c>
      <c r="K6" s="51">
        <f>K30-K88</f>
        <v>10273.0470969866</v>
      </c>
      <c r="L6" s="51">
        <f>L30-L88</f>
        <v>18653.42052985022</v>
      </c>
      <c r="M6" s="51">
        <f>M30-M88</f>
        <v>23815.96720932399</v>
      </c>
      <c r="N6" s="51">
        <f>N30-N88</f>
        <v>-18029.9529030134</v>
      </c>
      <c r="O6" s="51">
        <f>O30-O88</f>
        <v>10273.0470969866</v>
      </c>
      <c r="P6" s="51">
        <f>P30-P88</f>
        <v>9973.0470969866</v>
      </c>
      <c r="Q6" s="51">
        <f>Q30-Q88</f>
        <v>10273.0470969866</v>
      </c>
      <c r="R6" s="51">
        <f>R30-R88</f>
        <v>18653.42052985022</v>
      </c>
      <c r="S6" s="51">
        <f>S30-S88</f>
        <v>23815.96720932399</v>
      </c>
      <c r="T6" s="51">
        <f>T30-T88</f>
        <v>7970.0470969866</v>
      </c>
      <c r="U6" s="51">
        <f>U30-U88</f>
        <v>10273.0470969866</v>
      </c>
      <c r="V6" s="51">
        <f>V30-V88</f>
        <v>9973.0470969866</v>
      </c>
      <c r="W6" s="51">
        <f>W30-W88</f>
        <v>10273.0470969866</v>
      </c>
      <c r="X6" s="51">
        <f>X30-X88</f>
        <v>18653.42052985022</v>
      </c>
      <c r="Y6" s="51">
        <f>Y30-Y88</f>
        <v>23815.96720932399</v>
      </c>
      <c r="Z6" s="51">
        <f>SUMIF($B$13:$Y$13,"Yes",B6:Y6)</f>
        <v>-2090088.695491516</v>
      </c>
      <c r="AA6" s="51">
        <f>AA30-AA88</f>
        <v>-2226005.847745758</v>
      </c>
      <c r="AB6" s="51">
        <f>AB30-AB88</f>
        <v>-2090088.695491515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77444</v>
      </c>
      <c r="I7" s="80">
        <f>IF(ISERROR(VLOOKUP(MONTH(I5),Inputs!$D$66:$D$71,1,0)),"",INDEX(Inputs!$B$66:$B$71,MATCH(MONTH(Output!I5),Inputs!$D$66:$D$71,0))-INDEX(Inputs!$C$66:$C$71,MATCH(MONTH(Output!I5),Inputs!$D$66:$D$71,0)))</f>
        <v>38450</v>
      </c>
      <c r="J7" s="80">
        <f>IF(ISERROR(VLOOKUP(MONTH(J5),Inputs!$D$66:$D$71,1,0)),"",INDEX(Inputs!$B$66:$B$71,MATCH(MONTH(Output!J5),Inputs!$D$66:$D$71,0))-INDEX(Inputs!$C$66:$C$71,MATCH(MONTH(Output!J5),Inputs!$D$66:$D$71,0)))</f>
        <v>25925</v>
      </c>
      <c r="K7" s="80">
        <f>IF(ISERROR(VLOOKUP(MONTH(K5),Inputs!$D$66:$D$71,1,0)),"",INDEX(Inputs!$B$66:$B$71,MATCH(MONTH(Output!K5),Inputs!$D$66:$D$71,0))-INDEX(Inputs!$C$66:$C$71,MATCH(MONTH(Output!K5),Inputs!$D$66:$D$71,0)))</f>
        <v>25458</v>
      </c>
      <c r="L7" s="80">
        <f>IF(ISERROR(VLOOKUP(MONTH(L5),Inputs!$D$66:$D$71,1,0)),"",INDEX(Inputs!$B$66:$B$71,MATCH(MONTH(Output!L5),Inputs!$D$66:$D$71,0))-INDEX(Inputs!$C$66:$C$71,MATCH(MONTH(Output!L5),Inputs!$D$66:$D$71,0)))</f>
        <v>28294</v>
      </c>
      <c r="M7" s="80">
        <f>IF(ISERROR(VLOOKUP(MONTH(M5),Inputs!$D$66:$D$71,1,0)),"",INDEX(Inputs!$B$66:$B$71,MATCH(MONTH(Output!M5),Inputs!$D$66:$D$71,0))-INDEX(Inputs!$C$66:$C$71,MATCH(MONTH(Output!M5),Inputs!$D$66:$D$71,0)))</f>
        <v>12987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77444</v>
      </c>
      <c r="U7" s="80">
        <f>IF(ISERROR(VLOOKUP(MONTH(U5),Inputs!$D$66:$D$71,1,0)),"",INDEX(Inputs!$B$66:$B$71,MATCH(MONTH(Output!U5),Inputs!$D$66:$D$71,0))-INDEX(Inputs!$C$66:$C$71,MATCH(MONTH(Output!U5),Inputs!$D$66:$D$71,0)))</f>
        <v>38450</v>
      </c>
      <c r="V7" s="80">
        <f>IF(ISERROR(VLOOKUP(MONTH(V5),Inputs!$D$66:$D$71,1,0)),"",INDEX(Inputs!$B$66:$B$71,MATCH(MONTH(Output!V5),Inputs!$D$66:$D$71,0))-INDEX(Inputs!$C$66:$C$71,MATCH(MONTH(Output!V5),Inputs!$D$66:$D$71,0)))</f>
        <v>25925</v>
      </c>
      <c r="W7" s="80">
        <f>IF(ISERROR(VLOOKUP(MONTH(W5),Inputs!$D$66:$D$71,1,0)),"",INDEX(Inputs!$B$66:$B$71,MATCH(MONTH(Output!W5),Inputs!$D$66:$D$71,0))-INDEX(Inputs!$C$66:$C$71,MATCH(MONTH(Output!W5),Inputs!$D$66:$D$71,0)))</f>
        <v>25458</v>
      </c>
      <c r="X7" s="80">
        <f>IF(ISERROR(VLOOKUP(MONTH(X5),Inputs!$D$66:$D$71,1,0)),"",INDEX(Inputs!$B$66:$B$71,MATCH(MONTH(Output!X5),Inputs!$D$66:$D$71,0))-INDEX(Inputs!$C$66:$C$71,MATCH(MONTH(Output!X5),Inputs!$D$66:$D$71,0)))</f>
        <v>28294</v>
      </c>
      <c r="Y7" s="80">
        <f>IF(ISERROR(VLOOKUP(MONTH(Y5),Inputs!$D$66:$D$71,1,0)),"",INDEX(Inputs!$B$66:$B$71,MATCH(MONTH(Output!Y5),Inputs!$D$66:$D$71,0))-INDEX(Inputs!$C$66:$C$71,MATCH(MONTH(Output!Y5),Inputs!$D$66:$D$71,0)))</f>
        <v>12987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11666.66666666667</v>
      </c>
      <c r="D10" s="37">
        <f>SUMPRODUCT((Calculations!$D$33:$D$84=Output!D5)+0,Calculations!$C$33:$C$84)</f>
        <v>11666.66666666667</v>
      </c>
      <c r="E10" s="37">
        <f>SUMPRODUCT((Calculations!$D$33:$D$84=Output!E5)+0,Calculations!$C$33:$C$84)</f>
        <v>11666.66666666667</v>
      </c>
      <c r="F10" s="37">
        <f>SUMPRODUCT((Calculations!$D$33:$D$84=Output!F5)+0,Calculations!$C$33:$C$84)</f>
        <v>11666.66666666667</v>
      </c>
      <c r="G10" s="37">
        <f>SUMPRODUCT((Calculations!$D$33:$D$84=Output!G5)+0,Calculations!$C$33:$C$84)</f>
        <v>11666.66666666667</v>
      </c>
      <c r="H10" s="37">
        <f>SUMPRODUCT((Calculations!$D$33:$D$84=Output!H5)+0,Calculations!$C$33:$C$84)</f>
        <v>11666.66666666667</v>
      </c>
      <c r="I10" s="37">
        <f>SUMPRODUCT((Calculations!$D$33:$D$84=Output!I5)+0,Calculations!$C$33:$C$84)</f>
        <v>11666.66666666667</v>
      </c>
      <c r="J10" s="37">
        <f>SUMPRODUCT((Calculations!$D$33:$D$84=Output!J5)+0,Calculations!$C$33:$C$84)</f>
        <v>11666.66666666667</v>
      </c>
      <c r="K10" s="37">
        <f>SUMPRODUCT((Calculations!$D$33:$D$84=Output!K5)+0,Calculations!$C$33:$C$84)</f>
        <v>11666.66666666667</v>
      </c>
      <c r="L10" s="37">
        <f>SUMPRODUCT((Calculations!$D$33:$D$84=Output!L5)+0,Calculations!$C$33:$C$84)</f>
        <v>11666.66666666667</v>
      </c>
      <c r="M10" s="37">
        <f>SUMPRODUCT((Calculations!$D$33:$D$84=Output!M5)+0,Calculations!$C$33:$C$84)</f>
        <v>11666.66666666667</v>
      </c>
      <c r="N10" s="37">
        <f>SUMPRODUCT((Calculations!$D$33:$D$84=Output!N5)+0,Calculations!$C$33:$C$84)</f>
        <v>11666.66666666667</v>
      </c>
      <c r="O10" s="37">
        <f>SUMPRODUCT((Calculations!$D$33:$D$84=Output!O5)+0,Calculations!$C$33:$C$84)</f>
        <v>11666.66666666667</v>
      </c>
      <c r="P10" s="37">
        <f>SUMPRODUCT((Calculations!$D$33:$D$84=Output!P5)+0,Calculations!$C$33:$C$84)</f>
        <v>11666.66666666667</v>
      </c>
      <c r="Q10" s="37">
        <f>SUMPRODUCT((Calculations!$D$33:$D$84=Output!Q5)+0,Calculations!$C$33:$C$84)</f>
        <v>11666.66666666667</v>
      </c>
      <c r="R10" s="37">
        <f>SUMPRODUCT((Calculations!$D$33:$D$84=Output!R5)+0,Calculations!$C$33:$C$84)</f>
        <v>11666.66666666667</v>
      </c>
      <c r="S10" s="37">
        <f>SUMPRODUCT((Calculations!$D$33:$D$84=Output!S5)+0,Calculations!$C$33:$C$84)</f>
        <v>11666.66666666667</v>
      </c>
      <c r="T10" s="37">
        <f>SUMPRODUCT((Calculations!$D$33:$D$84=Output!T5)+0,Calculations!$C$33:$C$84)</f>
        <v>11666.66666666667</v>
      </c>
      <c r="U10" s="37">
        <f>SUMPRODUCT((Calculations!$D$33:$D$84=Output!U5)+0,Calculations!$C$33:$C$84)</f>
        <v>11666.66666666667</v>
      </c>
      <c r="V10" s="37">
        <f>SUMPRODUCT((Calculations!$D$33:$D$84=Output!V5)+0,Calculations!$C$33:$C$84)</f>
        <v>11666.66666666667</v>
      </c>
      <c r="W10" s="37">
        <f>SUMPRODUCT((Calculations!$D$33:$D$84=Output!W5)+0,Calculations!$C$33:$C$84)</f>
        <v>11666.66666666667</v>
      </c>
      <c r="X10" s="37">
        <f>SUMPRODUCT((Calculations!$D$33:$D$84=Output!X5)+0,Calculations!$C$33:$C$84)</f>
        <v>11666.66666666667</v>
      </c>
      <c r="Y10" s="37">
        <f>SUMPRODUCT((Calculations!$D$33:$D$84=Output!Y5)+0,Calculations!$C$33:$C$84)</f>
        <v>11666.66666666667</v>
      </c>
      <c r="Z10" s="37">
        <f>SUMIF($B$13:$Y$13,"Yes",B10:Y10)</f>
        <v>268333.3333333333</v>
      </c>
      <c r="AA10" s="37">
        <f>SUM(B10:M10)</f>
        <v>128333.3333333334</v>
      </c>
      <c r="AB10" s="37">
        <f>SUM(B10:Y10)</f>
        <v>268333.3333333333</v>
      </c>
    </row>
    <row r="11" spans="1:30" customHeight="1" ht="15.75">
      <c r="A11" s="43" t="s">
        <v>31</v>
      </c>
      <c r="B11" s="80">
        <f>B6+B9-B10</f>
        <v>166742.0825579795</v>
      </c>
      <c r="C11" s="80">
        <f>C6+C9-C10</f>
        <v>-13865.25077535383</v>
      </c>
      <c r="D11" s="80">
        <f>D6+D9-D10</f>
        <v>-14165.25077535383</v>
      </c>
      <c r="E11" s="80">
        <f>E6+E9-E10</f>
        <v>-13865.25077535383</v>
      </c>
      <c r="F11" s="80">
        <f>F6+F9-F10</f>
        <v>-302293.3879807881</v>
      </c>
      <c r="G11" s="80">
        <f>G6+G9-G10</f>
        <v>12149.30054265733</v>
      </c>
      <c r="H11" s="80">
        <f>H6+H9-H10</f>
        <v>-3696.619569680068</v>
      </c>
      <c r="I11" s="80">
        <f>I6+I9-I10</f>
        <v>-1393.619569680068</v>
      </c>
      <c r="J11" s="80">
        <f>J6+J9-J10</f>
        <v>-2001693.61956968</v>
      </c>
      <c r="K11" s="80">
        <f>K6+K9-K10</f>
        <v>-1393.619569680068</v>
      </c>
      <c r="L11" s="80">
        <f>L6+L9-L10</f>
        <v>6986.753863183549</v>
      </c>
      <c r="M11" s="80">
        <f>M6+M9-M10</f>
        <v>12149.30054265733</v>
      </c>
      <c r="N11" s="80">
        <f>N6+N9-N10</f>
        <v>-29696.61956968007</v>
      </c>
      <c r="O11" s="80">
        <f>O6+O9-O10</f>
        <v>-1393.619569680068</v>
      </c>
      <c r="P11" s="80">
        <f>P6+P9-P10</f>
        <v>-1693.619569680068</v>
      </c>
      <c r="Q11" s="80">
        <f>Q6+Q9-Q10</f>
        <v>-1393.619569680068</v>
      </c>
      <c r="R11" s="80">
        <f>R6+R9-R10</f>
        <v>6986.753863183549</v>
      </c>
      <c r="S11" s="80">
        <f>S6+S9-S10</f>
        <v>12149.30054265733</v>
      </c>
      <c r="T11" s="80">
        <f>T6+T9-T10</f>
        <v>-3696.619569680068</v>
      </c>
      <c r="U11" s="80">
        <f>U6+U9-U10</f>
        <v>-1393.619569680068</v>
      </c>
      <c r="V11" s="80">
        <f>V6+V9-V10</f>
        <v>-1693.619569680068</v>
      </c>
      <c r="W11" s="80">
        <f>W6+W9-W10</f>
        <v>-1393.619569680068</v>
      </c>
      <c r="X11" s="80">
        <f>X6+X9-X10</f>
        <v>6986.753863183549</v>
      </c>
      <c r="Y11" s="80">
        <f>Y6+Y9-Y10</f>
        <v>12149.30054265733</v>
      </c>
      <c r="Z11" s="85">
        <f>SUMIF($B$13:$Y$13,"Yes",B11:Y11)</f>
        <v>-2158422.028824852</v>
      </c>
      <c r="AA11" s="80">
        <f>SUM(B11:M11)</f>
        <v>-2154339.181079092</v>
      </c>
      <c r="AB11" s="46">
        <f>SUM(B11:Y11)</f>
        <v>-2158422.028824852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0.07090323699579053</v>
      </c>
      <c r="D12" s="82">
        <f>IF(D13="Yes",IF(SUM($B$10:D10)/(SUM($B$6:D6)+SUM($B$9:D9))&lt;0,999.99,SUM($B$10:D10)/(SUM($B$6:D6)+SUM($B$9:D9))),"")</f>
        <v>0.1439929998931566</v>
      </c>
      <c r="E12" s="82">
        <f>IF(E13="Yes",IF(SUM($B$10:E10)/(SUM($B$6:E6)+SUM($B$9:E9))&lt;0,999.99,SUM($B$10:E10)/(SUM($B$6:E6)+SUM($B$9:E9))),"")</f>
        <v>0.2189602973632185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>
        <f>IF(O13="Yes",IF(SUM($B$10:O10)/(SUM($B$6:O6)+SUM($B$9:O9))&lt;0,999.99,SUM($B$10:O10)/(SUM($B$6:O6)+SUM($B$9:O9))),"")</f>
        <v>999.99</v>
      </c>
      <c r="P12" s="82">
        <f>IF(P13="Yes",IF(SUM($B$10:P10)/(SUM($B$6:P6)+SUM($B$9:P9))&lt;0,999.99,SUM($B$10:P10)/(SUM($B$6:P6)+SUM($B$9:P9))),"")</f>
        <v>999.99</v>
      </c>
      <c r="Q12" s="82">
        <f>IF(Q13="Yes",IF(SUM($B$10:Q10)/(SUM($B$6:Q6)+SUM($B$9:Q9))&lt;0,999.99,SUM($B$10:Q10)/(SUM($B$6:Q6)+SUM($B$9:Q9))),"")</f>
        <v>999.99</v>
      </c>
      <c r="R12" s="82">
        <f>IF(R13="Yes",IF(SUM($B$10:R10)/(SUM($B$6:R6)+SUM($B$9:R9))&lt;0,999.99,SUM($B$10:R10)/(SUM($B$6:R6)+SUM($B$9:R9))),"")</f>
        <v>999.99</v>
      </c>
      <c r="S12" s="82">
        <f>IF(S13="Yes",IF(SUM($B$10:S10)/(SUM($B$6:S6)+SUM($B$9:S9))&lt;0,999.99,SUM($B$10:S10)/(SUM($B$6:S6)+SUM($B$9:S9))),"")</f>
        <v>999.99</v>
      </c>
      <c r="T12" s="82">
        <f>IF(T13="Yes",IF(SUM($B$10:T10)/(SUM($B$6:T6)+SUM($B$9:T9))&lt;0,999.99,SUM($B$10:T10)/(SUM($B$6:T6)+SUM($B$9:T9))),"")</f>
        <v>999.99</v>
      </c>
      <c r="U12" s="82">
        <f>IF(U13="Yes",IF(SUM($B$10:U10)/(SUM($B$6:U6)+SUM($B$9:U9))&lt;0,999.99,SUM($B$10:U10)/(SUM($B$6:U6)+SUM($B$9:U9))),"")</f>
        <v>999.99</v>
      </c>
      <c r="V12" s="82">
        <f>IF(V13="Yes",IF(SUM($B$10:V10)/(SUM($B$6:V6)+SUM($B$9:V9))&lt;0,999.99,SUM($B$10:V10)/(SUM($B$6:V6)+SUM($B$9:V9))),"")</f>
        <v>999.99</v>
      </c>
      <c r="W12" s="82">
        <f>IF(W13="Yes",IF(SUM($B$10:W10)/(SUM($B$6:W6)+SUM($B$9:W9))&lt;0,999.99,SUM($B$10:W10)/(SUM($B$6:W6)+SUM($B$9:W9))),"")</f>
        <v>999.99</v>
      </c>
      <c r="X12" s="82">
        <f>IF(X13="Yes",IF(SUM($B$10:X10)/(SUM($B$6:X6)+SUM($B$9:X9))&lt;0,999.99,SUM($B$10:X10)/(SUM($B$6:X6)+SUM($B$9:X9))),"")</f>
        <v>999.99</v>
      </c>
      <c r="Y12" s="82">
        <f>IF(Y13="Yes",IF(SUM($B$10:Y10)/(SUM($B$6:Y6)+SUM($B$9:Y9))&lt;0,999.99,SUM($B$10:Y10)/(SUM($B$6:Y6)+SUM($B$9:Y9))),"")</f>
        <v>999.99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9472.43342694783</v>
      </c>
      <c r="G19" s="36">
        <f>S19</f>
        <v>11366.9201123374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9472.43342694783</v>
      </c>
      <c r="M19" s="36">
        <f>Y19</f>
        <v>11366.9201123374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9472.43342694783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11366.9201123374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9472.43342694783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11366.9201123374</v>
      </c>
      <c r="Z19" s="36">
        <f>SUMIF($B$13:$Y$13,"Yes",B19:Y19)</f>
        <v>83357.4141571409</v>
      </c>
      <c r="AA19" s="36">
        <f>SUM(B19:M19)</f>
        <v>41678.70707857045</v>
      </c>
      <c r="AB19" s="36">
        <f>SUM(B19:Y19)</f>
        <v>83357.4141571409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840000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35000</v>
      </c>
      <c r="C30" s="19">
        <f>SUM(C18:C29)</f>
        <v>35000</v>
      </c>
      <c r="D30" s="19">
        <f>SUM(D18:D29)</f>
        <v>35000</v>
      </c>
      <c r="E30" s="19">
        <f>SUM(E18:E29)</f>
        <v>35000</v>
      </c>
      <c r="F30" s="19">
        <f>SUM(F18:F29)</f>
        <v>44472.43342694783</v>
      </c>
      <c r="G30" s="19">
        <f>SUM(G18:G29)</f>
        <v>46366.92011233739</v>
      </c>
      <c r="H30" s="19">
        <f>SUM(H18:H29)</f>
        <v>35000</v>
      </c>
      <c r="I30" s="19">
        <f>SUM(I18:I29)</f>
        <v>35000</v>
      </c>
      <c r="J30" s="19">
        <f>SUM(J18:J29)</f>
        <v>35000</v>
      </c>
      <c r="K30" s="19">
        <f>SUM(K18:K29)</f>
        <v>35000</v>
      </c>
      <c r="L30" s="19">
        <f>SUM(L18:L29)</f>
        <v>44472.43342694783</v>
      </c>
      <c r="M30" s="19">
        <f>SUM(M18:M29)</f>
        <v>46366.92011233739</v>
      </c>
      <c r="N30" s="19">
        <f>SUM(N18:N29)</f>
        <v>35000</v>
      </c>
      <c r="O30" s="19">
        <f>SUM(O18:O29)</f>
        <v>35000</v>
      </c>
      <c r="P30" s="19">
        <f>SUM(P18:P29)</f>
        <v>35000</v>
      </c>
      <c r="Q30" s="19">
        <f>SUM(Q18:Q29)</f>
        <v>35000</v>
      </c>
      <c r="R30" s="19">
        <f>SUM(R18:R29)</f>
        <v>44472.43342694783</v>
      </c>
      <c r="S30" s="19">
        <f>SUM(S18:S29)</f>
        <v>46366.92011233739</v>
      </c>
      <c r="T30" s="19">
        <f>SUM(T18:T29)</f>
        <v>35000</v>
      </c>
      <c r="U30" s="19">
        <f>SUM(U18:U29)</f>
        <v>35000</v>
      </c>
      <c r="V30" s="19">
        <f>SUM(V18:V29)</f>
        <v>35000</v>
      </c>
      <c r="W30" s="19">
        <f>SUM(W18:W29)</f>
        <v>35000</v>
      </c>
      <c r="X30" s="19">
        <f>SUM(X18:X29)</f>
        <v>44472.43342694783</v>
      </c>
      <c r="Y30" s="19">
        <f>SUM(Y18:Y29)</f>
        <v>46366.92011233739</v>
      </c>
      <c r="Z30" s="19">
        <f>SUMIF($B$13:$Y$13,"Yes",B30:Y30)</f>
        <v>923357.414157141</v>
      </c>
      <c r="AA30" s="19">
        <f>SUM(B30:M30)</f>
        <v>461678.7070785704</v>
      </c>
      <c r="AB30" s="19">
        <f>SUM(B30:Y30)</f>
        <v>923357.414157141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8000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2000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8000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2000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20000</v>
      </c>
      <c r="AA36" s="36">
        <f>SUM(B36:M36)</f>
        <v>10000</v>
      </c>
      <c r="AB36" s="36">
        <f>SUM(B36:Y36)</f>
        <v>20000</v>
      </c>
      <c r="AC36" s="73"/>
    </row>
    <row r="37" spans="1:30" hidden="true" outlineLevel="1">
      <c r="A37" s="181" t="str">
        <f>Calculations!$A$4</f>
        <v>Other crops</v>
      </c>
      <c r="B37" s="36">
        <f>N37</f>
        <v>4000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4000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Maize</v>
      </c>
      <c r="B38" s="36">
        <f>N38</f>
        <v>2000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2000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2000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2000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Other crops</v>
      </c>
      <c r="B39" s="36">
        <f>N39</f>
        <v>2000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2000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4000</v>
      </c>
      <c r="AA39" s="36">
        <f>SUM(B39:M39)</f>
        <v>2000</v>
      </c>
      <c r="AB39" s="36">
        <f>SUM(B39:Y39)</f>
        <v>4000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303.0000000000001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303.0000000000001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303.0000000000001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303.0000000000001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1212</v>
      </c>
      <c r="AA42" s="36">
        <f>SUM(B42:M42)</f>
        <v>606.0000000000001</v>
      </c>
      <c r="AB42" s="36">
        <f>SUM(B42:Y42)</f>
        <v>1212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303.0000000000001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303.0000000000001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303.0000000000001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303.0000000000001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1212</v>
      </c>
      <c r="AA44" s="36">
        <f>SUM(B44:M44)</f>
        <v>606.0000000000001</v>
      </c>
      <c r="AB44" s="36">
        <f>SUM(B44:Y44)</f>
        <v>1212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300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300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300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300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1200</v>
      </c>
      <c r="AA48" s="46">
        <f>SUM(B48:M48)</f>
        <v>600</v>
      </c>
      <c r="AB48" s="46">
        <f>SUM(B48:Y48)</f>
        <v>1200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300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300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300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300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1200</v>
      </c>
      <c r="AA50" s="46">
        <f>SUM(B50:M50)</f>
        <v>600</v>
      </c>
      <c r="AB50" s="46">
        <f>SUM(B50:Y50)</f>
        <v>1200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1092.059994084211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1092.059994084211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1092.059994084211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1092.059994084211</v>
      </c>
      <c r="Y54" s="46">
        <f>SUM(Y55:Y59)</f>
        <v>0</v>
      </c>
      <c r="Z54" s="46">
        <f>SUMIF($B$13:$Y$13,"Yes",B54:Y54)</f>
        <v>4368.239976336844</v>
      </c>
      <c r="AA54" s="46">
        <f>SUM(B54:M54)</f>
        <v>2184.119988168422</v>
      </c>
      <c r="AB54" s="46">
        <f>SUM(B54:Y54)</f>
        <v>4368.239976336844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1092.059994084211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1092.059994084211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1092.059994084211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1092.059994084211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4368.239976336844</v>
      </c>
      <c r="AA56" s="46">
        <f>SUM(B56:M56)</f>
        <v>2184.119988168422</v>
      </c>
      <c r="AB56" s="46">
        <f>SUM(B56:Y56)</f>
        <v>4368.239976336844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1000</v>
      </c>
      <c r="C60" s="36">
        <f>O60</f>
        <v>1000</v>
      </c>
      <c r="D60" s="36">
        <f>P60</f>
        <v>1000</v>
      </c>
      <c r="E60" s="36">
        <f>Q60</f>
        <v>1000</v>
      </c>
      <c r="F60" s="36">
        <f>R60</f>
        <v>1000</v>
      </c>
      <c r="G60" s="36">
        <f>S60</f>
        <v>0</v>
      </c>
      <c r="H60" s="36">
        <f>T60</f>
        <v>1000</v>
      </c>
      <c r="I60" s="36">
        <f>U60</f>
        <v>1000</v>
      </c>
      <c r="J60" s="36">
        <f>V60</f>
        <v>1000</v>
      </c>
      <c r="K60" s="36">
        <f>W60</f>
        <v>1000</v>
      </c>
      <c r="L60" s="36">
        <f>X60</f>
        <v>1000</v>
      </c>
      <c r="M60" s="36">
        <f>Y60</f>
        <v>0</v>
      </c>
      <c r="N60" s="46">
        <f>SUM(N61:N65)</f>
        <v>1000</v>
      </c>
      <c r="O60" s="46">
        <f>SUM(O61:O65)</f>
        <v>1000</v>
      </c>
      <c r="P60" s="46">
        <f>SUM(P61:P65)</f>
        <v>1000</v>
      </c>
      <c r="Q60" s="46">
        <f>SUM(Q61:Q65)</f>
        <v>1000</v>
      </c>
      <c r="R60" s="46">
        <f>SUM(R61:R65)</f>
        <v>1000</v>
      </c>
      <c r="S60" s="46">
        <f>SUM(S61:S65)</f>
        <v>0</v>
      </c>
      <c r="T60" s="46">
        <f>SUM(T61:T65)</f>
        <v>1000</v>
      </c>
      <c r="U60" s="46">
        <f>SUM(U61:U65)</f>
        <v>1000</v>
      </c>
      <c r="V60" s="46">
        <f>SUM(V61:V65)</f>
        <v>1000</v>
      </c>
      <c r="W60" s="46">
        <f>SUM(W61:W65)</f>
        <v>1000</v>
      </c>
      <c r="X60" s="46">
        <f>SUM(X61:X65)</f>
        <v>1000</v>
      </c>
      <c r="Y60" s="46">
        <f>SUM(Y61:Y65)</f>
        <v>0</v>
      </c>
      <c r="Z60" s="46">
        <f>SUMIF($B$13:$Y$13,"Yes",B60:Y60)</f>
        <v>20000</v>
      </c>
      <c r="AA60" s="46">
        <f>SUM(B60:M60)</f>
        <v>10000</v>
      </c>
      <c r="AB60" s="46">
        <f>SUM(B60:Y60)</f>
        <v>20000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1000</v>
      </c>
      <c r="C62" s="36">
        <f>O62</f>
        <v>1000</v>
      </c>
      <c r="D62" s="36">
        <f>P62</f>
        <v>1000</v>
      </c>
      <c r="E62" s="36">
        <f>Q62</f>
        <v>1000</v>
      </c>
      <c r="F62" s="36">
        <f>R62</f>
        <v>1000</v>
      </c>
      <c r="G62" s="36">
        <f>S62</f>
        <v>0</v>
      </c>
      <c r="H62" s="36">
        <f>T62</f>
        <v>1000</v>
      </c>
      <c r="I62" s="36">
        <f>U62</f>
        <v>1000</v>
      </c>
      <c r="J62" s="36">
        <f>V62</f>
        <v>1000</v>
      </c>
      <c r="K62" s="36">
        <f>W62</f>
        <v>1000</v>
      </c>
      <c r="L62" s="36">
        <f>X62</f>
        <v>1000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1000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1000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1000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1000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1000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1000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1000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1000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20000</v>
      </c>
      <c r="AA62" s="46">
        <f>SUM(B62:M62)</f>
        <v>10000</v>
      </c>
      <c r="AB62" s="46">
        <f>SUM(B62:Y62)</f>
        <v>20000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1176</v>
      </c>
      <c r="C66" s="36">
        <f>O66</f>
        <v>1176</v>
      </c>
      <c r="D66" s="36">
        <f>P66</f>
        <v>1176</v>
      </c>
      <c r="E66" s="36">
        <f>Q66</f>
        <v>1176</v>
      </c>
      <c r="F66" s="36">
        <f>R66</f>
        <v>1176</v>
      </c>
      <c r="G66" s="36">
        <f>S66</f>
        <v>0</v>
      </c>
      <c r="H66" s="36">
        <f>T66</f>
        <v>1176</v>
      </c>
      <c r="I66" s="36">
        <f>U66</f>
        <v>1176</v>
      </c>
      <c r="J66" s="36">
        <f>V66</f>
        <v>1176</v>
      </c>
      <c r="K66" s="36">
        <f>W66</f>
        <v>1176</v>
      </c>
      <c r="L66" s="36">
        <f>X66</f>
        <v>1176</v>
      </c>
      <c r="M66" s="36">
        <f>Y66</f>
        <v>0</v>
      </c>
      <c r="N66" s="46">
        <f>SUM(N67:N71)</f>
        <v>1176</v>
      </c>
      <c r="O66" s="46">
        <f>SUM(O67:O71)</f>
        <v>1176</v>
      </c>
      <c r="P66" s="46">
        <f>SUM(P67:P71)</f>
        <v>1176</v>
      </c>
      <c r="Q66" s="46">
        <f>SUM(Q67:Q71)</f>
        <v>1176</v>
      </c>
      <c r="R66" s="46">
        <f>SUM(R67:R71)</f>
        <v>1176</v>
      </c>
      <c r="S66" s="46">
        <f>SUM(S67:S71)</f>
        <v>0</v>
      </c>
      <c r="T66" s="46">
        <f>SUM(T67:T71)</f>
        <v>1176</v>
      </c>
      <c r="U66" s="46">
        <f>SUM(U67:U71)</f>
        <v>1176</v>
      </c>
      <c r="V66" s="46">
        <f>SUM(V67:V71)</f>
        <v>1176</v>
      </c>
      <c r="W66" s="46">
        <f>SUM(W67:W71)</f>
        <v>1176</v>
      </c>
      <c r="X66" s="46">
        <f>SUM(X67:X71)</f>
        <v>1176</v>
      </c>
      <c r="Y66" s="46">
        <f>SUM(Y67:Y71)</f>
        <v>0</v>
      </c>
      <c r="Z66" s="46">
        <f>SUMIF($B$13:$Y$13,"Yes",B66:Y66)</f>
        <v>23520</v>
      </c>
      <c r="AA66" s="46">
        <f>SUM(B66:M66)</f>
        <v>11760</v>
      </c>
      <c r="AB66" s="46">
        <f>SUM(B66:Y66)</f>
        <v>23520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Maize</v>
      </c>
      <c r="B68" s="36">
        <f>N68</f>
        <v>1176</v>
      </c>
      <c r="C68" s="36">
        <f>O68</f>
        <v>1176</v>
      </c>
      <c r="D68" s="36">
        <f>P68</f>
        <v>1176</v>
      </c>
      <c r="E68" s="36">
        <f>Q68</f>
        <v>1176</v>
      </c>
      <c r="F68" s="36">
        <f>R68</f>
        <v>1176</v>
      </c>
      <c r="G68" s="36">
        <f>S68</f>
        <v>0</v>
      </c>
      <c r="H68" s="36">
        <f>T68</f>
        <v>1176</v>
      </c>
      <c r="I68" s="36">
        <f>U68</f>
        <v>1176</v>
      </c>
      <c r="J68" s="36">
        <f>V68</f>
        <v>1176</v>
      </c>
      <c r="K68" s="36">
        <f>W68</f>
        <v>1176</v>
      </c>
      <c r="L68" s="36">
        <f>X68</f>
        <v>1176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1176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1176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1176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1176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1176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1176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1176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1176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1176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1176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23520</v>
      </c>
      <c r="AA68" s="46">
        <f>SUM(B68:M68)</f>
        <v>11760</v>
      </c>
      <c r="AB68" s="46">
        <f>SUM(B68:Y68)</f>
        <v>23520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20000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20000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40000</v>
      </c>
      <c r="AA72" s="46">
        <f>SUM(B72:M72)</f>
        <v>20000</v>
      </c>
      <c r="AB72" s="46">
        <f>SUM(B72:Y72)</f>
        <v>40000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360000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300000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2000000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2300000</v>
      </c>
      <c r="AA80" s="46">
        <f>SUM(B80:M80)</f>
        <v>2300000</v>
      </c>
      <c r="AB80" s="46">
        <f>SUM(B80:Y80)</f>
        <v>2300000</v>
      </c>
    </row>
    <row r="81" spans="1:30">
      <c r="A81" s="43" t="s">
        <v>51</v>
      </c>
      <c r="B81" s="46">
        <f>(SUM($AA$18:$AA$29)-SUM($AA$36,$AA$42,$AA$48,$AA$54,$AA$60,$AA$66,$AA$72:$AA$79))*Parameters!$B$37/12</f>
        <v>7550.952903013401</v>
      </c>
      <c r="C81" s="46">
        <f>(SUM($AA$18:$AA$29)-SUM($AA$36,$AA$42,$AA$48,$AA$54,$AA$60,$AA$66,$AA$72:$AA$79))*Parameters!$B$37/12</f>
        <v>7550.952903013401</v>
      </c>
      <c r="D81" s="46">
        <f>(SUM($AA$18:$AA$29)-SUM($AA$36,$AA$42,$AA$48,$AA$54,$AA$60,$AA$66,$AA$72:$AA$79))*Parameters!$B$37/12</f>
        <v>7550.952903013401</v>
      </c>
      <c r="E81" s="46">
        <f>(SUM($AA$18:$AA$29)-SUM($AA$36,$AA$42,$AA$48,$AA$54,$AA$60,$AA$66,$AA$72:$AA$79))*Parameters!$B$37/12</f>
        <v>7550.952903013401</v>
      </c>
      <c r="F81" s="46">
        <f>(SUM($AA$18:$AA$29)-SUM($AA$36,$AA$42,$AA$48,$AA$54,$AA$60,$AA$66,$AA$72:$AA$79))*Parameters!$B$37/12</f>
        <v>7550.952903013401</v>
      </c>
      <c r="G81" s="46">
        <f>(SUM($AA$18:$AA$29)-SUM($AA$36,$AA$42,$AA$48,$AA$54,$AA$60,$AA$66,$AA$72:$AA$79))*Parameters!$B$37/12</f>
        <v>7550.952903013401</v>
      </c>
      <c r="H81" s="46">
        <f>(SUM($AA$18:$AA$29)-SUM($AA$36,$AA$42,$AA$48,$AA$54,$AA$60,$AA$66,$AA$72:$AA$79))*Parameters!$B$37/12</f>
        <v>7550.952903013401</v>
      </c>
      <c r="I81" s="46">
        <f>(SUM($AA$18:$AA$29)-SUM($AA$36,$AA$42,$AA$48,$AA$54,$AA$60,$AA$66,$AA$72:$AA$79))*Parameters!$B$37/12</f>
        <v>7550.952903013401</v>
      </c>
      <c r="J81" s="46">
        <f>(SUM($AA$18:$AA$29)-SUM($AA$36,$AA$42,$AA$48,$AA$54,$AA$60,$AA$66,$AA$72:$AA$79))*Parameters!$B$37/12</f>
        <v>7550.952903013401</v>
      </c>
      <c r="K81" s="46">
        <f>(SUM($AA$18:$AA$29)-SUM($AA$36,$AA$42,$AA$48,$AA$54,$AA$60,$AA$66,$AA$72:$AA$79))*Parameters!$B$37/12</f>
        <v>7550.952903013401</v>
      </c>
      <c r="L81" s="46">
        <f>(SUM($AA$18:$AA$29)-SUM($AA$36,$AA$42,$AA$48,$AA$54,$AA$60,$AA$66,$AA$72:$AA$79))*Parameters!$B$37/12</f>
        <v>7550.952903013401</v>
      </c>
      <c r="M81" s="46">
        <f>(SUM($AA$18:$AA$29)-SUM($AA$36,$AA$42,$AA$48,$AA$54,$AA$60,$AA$66,$AA$72:$AA$79))*Parameters!$B$37/12</f>
        <v>7550.952903013401</v>
      </c>
      <c r="N81" s="46">
        <f>(SUM($AA$18:$AA$29)-SUM($AA$36,$AA$42,$AA$48,$AA$54,$AA$60,$AA$66,$AA$72:$AA$79))*Parameters!$B$37/12</f>
        <v>7550.952903013401</v>
      </c>
      <c r="O81" s="46">
        <f>(SUM($AA$18:$AA$29)-SUM($AA$36,$AA$42,$AA$48,$AA$54,$AA$60,$AA$66,$AA$72:$AA$79))*Parameters!$B$37/12</f>
        <v>7550.952903013401</v>
      </c>
      <c r="P81" s="46">
        <f>(SUM($AA$18:$AA$29)-SUM($AA$36,$AA$42,$AA$48,$AA$54,$AA$60,$AA$66,$AA$72:$AA$79))*Parameters!$B$37/12</f>
        <v>7550.952903013401</v>
      </c>
      <c r="Q81" s="46">
        <f>(SUM($AA$18:$AA$29)-SUM($AA$36,$AA$42,$AA$48,$AA$54,$AA$60,$AA$66,$AA$72:$AA$79))*Parameters!$B$37/12</f>
        <v>7550.952903013401</v>
      </c>
      <c r="R81" s="46">
        <f>(SUM($AA$18:$AA$29)-SUM($AA$36,$AA$42,$AA$48,$AA$54,$AA$60,$AA$66,$AA$72:$AA$79))*Parameters!$B$37/12</f>
        <v>7550.952903013401</v>
      </c>
      <c r="S81" s="46">
        <f>(SUM($AA$18:$AA$29)-SUM($AA$36,$AA$42,$AA$48,$AA$54,$AA$60,$AA$66,$AA$72:$AA$79))*Parameters!$B$37/12</f>
        <v>7550.952903013401</v>
      </c>
      <c r="T81" s="46">
        <f>(SUM($AA$18:$AA$29)-SUM($AA$36,$AA$42,$AA$48,$AA$54,$AA$60,$AA$66,$AA$72:$AA$79))*Parameters!$B$37/12</f>
        <v>7550.952903013401</v>
      </c>
      <c r="U81" s="46">
        <f>(SUM($AA$18:$AA$29)-SUM($AA$36,$AA$42,$AA$48,$AA$54,$AA$60,$AA$66,$AA$72:$AA$79))*Parameters!$B$37/12</f>
        <v>7550.952903013401</v>
      </c>
      <c r="V81" s="46">
        <f>(SUM($AA$18:$AA$29)-SUM($AA$36,$AA$42,$AA$48,$AA$54,$AA$60,$AA$66,$AA$72:$AA$79))*Parameters!$B$37/12</f>
        <v>7550.952903013401</v>
      </c>
      <c r="W81" s="46">
        <f>(SUM($AA$18:$AA$29)-SUM($AA$36,$AA$42,$AA$48,$AA$54,$AA$60,$AA$66,$AA$72:$AA$79))*Parameters!$B$37/12</f>
        <v>7550.952903013401</v>
      </c>
      <c r="X81" s="46">
        <f>(SUM($AA$18:$AA$29)-SUM($AA$36,$AA$42,$AA$48,$AA$54,$AA$60,$AA$66,$AA$72:$AA$79))*Parameters!$B$37/12</f>
        <v>7550.952903013401</v>
      </c>
      <c r="Y81" s="46">
        <f>(SUM($AA$18:$AA$29)-SUM($AA$36,$AA$42,$AA$48,$AA$54,$AA$60,$AA$66,$AA$72:$AA$79))*Parameters!$B$37/12</f>
        <v>7550.952903013401</v>
      </c>
      <c r="Z81" s="46">
        <f>SUMIF($B$13:$Y$13,"Yes",B81:Y81)</f>
        <v>181222.8696723217</v>
      </c>
      <c r="AA81" s="46">
        <f>SUM(B81:M81)</f>
        <v>90611.43483616081</v>
      </c>
      <c r="AB81" s="46">
        <f>SUM(B81:Y81)</f>
        <v>181222.8696723217</v>
      </c>
    </row>
    <row r="82" spans="1:30">
      <c r="A82" s="16" t="s">
        <v>52</v>
      </c>
      <c r="B82" s="46">
        <f>SUM(B83:B87)</f>
        <v>15227.96453900709</v>
      </c>
      <c r="C82" s="46">
        <f>SUM(C83:C87)</f>
        <v>12471.63120567376</v>
      </c>
      <c r="D82" s="46">
        <f>SUM(D83:D87)</f>
        <v>12471.63120567376</v>
      </c>
      <c r="E82" s="46">
        <f>SUM(E83:E87)</f>
        <v>12471.63120567376</v>
      </c>
      <c r="F82" s="46">
        <f>SUM(F83:F87)</f>
        <v>9280.141843971627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61923</v>
      </c>
      <c r="AA82" s="46">
        <f>SUM(B82:M82)</f>
        <v>61923</v>
      </c>
      <c r="AB82" s="46">
        <f>SUM(B82:Y82)</f>
        <v>61923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12471.63120567376</v>
      </c>
      <c r="C83" s="46">
        <f>IF(Calculations!$E23&gt;COUNT(Output!$B$35:C$35),Calculations!$B23,IF(Calculations!$E23=COUNT(Output!$B$35:C$35),Inputs!$B56-Calculations!$C23*(Calculations!$E23-1)+Calculations!$D23,0))</f>
        <v>12471.63120567376</v>
      </c>
      <c r="D83" s="46">
        <f>IF(Calculations!$E23&gt;COUNT(Output!$B$35:D$35),Calculations!$B23,IF(Calculations!$E23=COUNT(Output!$B$35:D$35),Inputs!$B56-Calculations!$C23*(Calculations!$E23-1)+Calculations!$D23,0))</f>
        <v>12471.63120567376</v>
      </c>
      <c r="E83" s="46">
        <f>IF(Calculations!$E23&gt;COUNT(Output!$B$35:E$35),Calculations!$B23,IF(Calculations!$E23=COUNT(Output!$B$35:E$35),Inputs!$B56-Calculations!$C23*(Calculations!$E23-1)+Calculations!$D23,0))</f>
        <v>12471.63120567376</v>
      </c>
      <c r="F83" s="46">
        <f>IF(Calculations!$E23&gt;COUNT(Output!$B$35:F$35),Calculations!$B23,IF(Calculations!$E23=COUNT(Output!$B$35:F$35),Inputs!$B56-Calculations!$C23*(Calculations!$E23-1)+Calculations!$D23,0))</f>
        <v>9280.141843971627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59166.66666666667</v>
      </c>
      <c r="AA83" s="46">
        <f>SUM(B83:M83)</f>
        <v>59166.66666666667</v>
      </c>
      <c r="AB83" s="46">
        <f>SUM(B83:Y83)</f>
        <v>59166.66666666667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2756.333333333333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2756.333333333333</v>
      </c>
      <c r="AA84" s="46">
        <f>SUM(B84:M84)</f>
        <v>2756.333333333333</v>
      </c>
      <c r="AB84" s="46">
        <f>SUM(B84:Y84)</f>
        <v>2756.333333333333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68257.91744202049</v>
      </c>
      <c r="C88" s="19">
        <f>SUM(C72:C82,C66,C60,C54,C48,C42,C36)</f>
        <v>37198.58410868716</v>
      </c>
      <c r="D88" s="19">
        <f>SUM(D72:D82,D66,D60,D54,D48,D42,D36)</f>
        <v>37498.58410868716</v>
      </c>
      <c r="E88" s="19">
        <f>SUM(E72:E82,E66,E60,E54,E48,E42,E36)</f>
        <v>37198.58410868716</v>
      </c>
      <c r="F88" s="19">
        <f>SUM(F72:F82,F66,F60,F54,F48,F42,F36)</f>
        <v>335099.1547410692</v>
      </c>
      <c r="G88" s="19">
        <f>SUM(G72:G82,G66,G60,G54,G48,G42,G36)</f>
        <v>22550.9529030134</v>
      </c>
      <c r="H88" s="19">
        <f>SUM(H72:H82,H66,H60,H54,H48,H42,H36)</f>
        <v>27029.9529030134</v>
      </c>
      <c r="I88" s="19">
        <f>SUM(I72:I82,I66,I60,I54,I48,I42,I36)</f>
        <v>24726.9529030134</v>
      </c>
      <c r="J88" s="19">
        <f>SUM(J72:J82,J66,J60,J54,J48,J42,J36)</f>
        <v>2025026.952903013</v>
      </c>
      <c r="K88" s="19">
        <f>SUM(K72:K82,K66,K60,K54,K48,K42,K36)</f>
        <v>24726.9529030134</v>
      </c>
      <c r="L88" s="19">
        <f>SUM(L72:L82,L66,L60,L54,L48,L42,L36)</f>
        <v>25819.01289709761</v>
      </c>
      <c r="M88" s="19">
        <f>SUM(M72:M82,M66,M60,M54,M48,M42,M36)</f>
        <v>22550.9529030134</v>
      </c>
      <c r="N88" s="19">
        <f>SUM(N72:N82,N66,N60,N54,N48,N42,N36)</f>
        <v>53029.9529030134</v>
      </c>
      <c r="O88" s="19">
        <f>SUM(O72:O82,O66,O60,O54,O48,O42,O36)</f>
        <v>24726.9529030134</v>
      </c>
      <c r="P88" s="19">
        <f>SUM(P72:P82,P66,P60,P54,P48,P42,P36)</f>
        <v>25026.9529030134</v>
      </c>
      <c r="Q88" s="19">
        <f>SUM(Q72:Q82,Q66,Q60,Q54,Q48,Q42,Q36)</f>
        <v>24726.9529030134</v>
      </c>
      <c r="R88" s="19">
        <f>SUM(R72:R82,R66,R60,R54,R48,R42,R36)</f>
        <v>25819.01289709761</v>
      </c>
      <c r="S88" s="19">
        <f>SUM(S72:S82,S66,S60,S54,S48,S42,S36)</f>
        <v>22550.9529030134</v>
      </c>
      <c r="T88" s="19">
        <f>SUM(T72:T82,T66,T60,T54,T48,T42,T36)</f>
        <v>27029.9529030134</v>
      </c>
      <c r="U88" s="19">
        <f>SUM(U72:U82,U66,U60,U54,U48,U42,U36)</f>
        <v>24726.9529030134</v>
      </c>
      <c r="V88" s="19">
        <f>SUM(V72:V82,V66,V60,V54,V48,V42,V36)</f>
        <v>25026.9529030134</v>
      </c>
      <c r="W88" s="19">
        <f>SUM(W72:W82,W66,W60,W54,W48,W42,W36)</f>
        <v>24726.9529030134</v>
      </c>
      <c r="X88" s="19">
        <f>SUM(X72:X82,X66,X60,X54,X48,X42,X36)</f>
        <v>25819.01289709761</v>
      </c>
      <c r="Y88" s="19">
        <f>SUM(Y72:Y82,Y66,Y60,Y54,Y48,Y42,Y36)</f>
        <v>22550.9529030134</v>
      </c>
      <c r="Z88" s="19">
        <f>SUMIF($B$13:$Y$13,"Yes",B88:Y88)</f>
        <v>3013446.109648656</v>
      </c>
      <c r="AA88" s="19">
        <f>SUM(B88:M88)</f>
        <v>2687684.554824329</v>
      </c>
      <c r="AB88" s="19">
        <f>SUM(B88:Y88)</f>
        <v>3013446.109648656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1940000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50923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250923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1</v>
      </c>
    </row>
    <row r="9" spans="1:48">
      <c r="A9" s="143" t="s">
        <v>89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5</v>
      </c>
      <c r="N9" s="154">
        <v>1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30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35000</v>
      </c>
    </row>
    <row r="31" spans="1:48">
      <c r="A31" s="5" t="s">
        <v>115</v>
      </c>
      <c r="B31" s="158">
        <v>15000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 t="s">
        <v>121</v>
      </c>
      <c r="B35" s="159">
        <v>2000000</v>
      </c>
      <c r="C35" s="145" t="s">
        <v>122</v>
      </c>
      <c r="D35" s="49">
        <f>IFERROR(VLOOKUP(C35,Parameters!$C$79:$D$90,2,0),"")</f>
        <v>7</v>
      </c>
    </row>
    <row r="36" spans="1:48">
      <c r="A36" s="144" t="s">
        <v>123</v>
      </c>
      <c r="B36" s="158">
        <v>300000</v>
      </c>
      <c r="C36" s="150" t="s">
        <v>124</v>
      </c>
      <c r="D36" s="49">
        <f>IFERROR(VLOOKUP(C36,Parameters!$C$79:$D$90,2,0),"")</f>
        <v>3</v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127</v>
      </c>
    </row>
    <row r="41" spans="1:48">
      <c r="A41" s="55" t="s">
        <v>128</v>
      </c>
      <c r="B41" s="140">
        <v>20000</v>
      </c>
    </row>
    <row r="42" spans="1:48">
      <c r="A42" s="55" t="s">
        <v>129</v>
      </c>
      <c r="B42" s="139" t="s">
        <v>94</v>
      </c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1500000</v>
      </c>
    </row>
    <row r="46" spans="1:48" customHeight="1" ht="30">
      <c r="A46" s="57" t="s">
        <v>134</v>
      </c>
      <c r="B46" s="161">
        <v>300000</v>
      </c>
    </row>
    <row r="47" spans="1:48" customHeight="1" ht="30">
      <c r="A47" s="57" t="s">
        <v>135</v>
      </c>
      <c r="B47" s="161">
        <v>100000</v>
      </c>
    </row>
    <row r="48" spans="1:48" customHeight="1" ht="30">
      <c r="A48" s="57" t="s">
        <v>136</v>
      </c>
      <c r="B48" s="161">
        <v>0</v>
      </c>
    </row>
    <row r="49" spans="1:48" customHeight="1" ht="30">
      <c r="A49" s="57" t="s">
        <v>137</v>
      </c>
      <c r="B49" s="161">
        <v>40000</v>
      </c>
    </row>
    <row r="50" spans="1:48">
      <c r="A50" s="43"/>
      <c r="B50" s="36"/>
    </row>
    <row r="51" spans="1:48">
      <c r="A51" s="58" t="s">
        <v>138</v>
      </c>
      <c r="B51" s="161">
        <v>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100000</v>
      </c>
      <c r="B56" s="159">
        <v>50000</v>
      </c>
      <c r="C56" s="162" t="s">
        <v>146</v>
      </c>
      <c r="D56" s="163" t="s">
        <v>147</v>
      </c>
      <c r="E56" s="163" t="s">
        <v>92</v>
      </c>
      <c r="F56" s="163" t="s">
        <v>148</v>
      </c>
    </row>
    <row r="57" spans="1:48">
      <c r="A57" s="157">
        <v>100000</v>
      </c>
      <c r="B57" s="157">
        <v>923</v>
      </c>
      <c r="C57" s="164" t="s">
        <v>149</v>
      </c>
      <c r="D57" s="165" t="s">
        <v>150</v>
      </c>
      <c r="E57" s="165" t="s">
        <v>92</v>
      </c>
      <c r="F57" s="165" t="s">
        <v>151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153</v>
      </c>
      <c r="C65" s="10" t="s">
        <v>154</v>
      </c>
    </row>
    <row r="66" spans="1:48">
      <c r="A66" s="142" t="s">
        <v>155</v>
      </c>
      <c r="B66" s="159">
        <v>413162</v>
      </c>
      <c r="C66" s="163">
        <v>400175</v>
      </c>
      <c r="D66" s="49">
        <f>INDEX(Parameters!$D$79:$D$90,MATCH(Inputs!A66,Parameters!$C$79:$C$90,0))</f>
        <v>10</v>
      </c>
    </row>
    <row r="67" spans="1:48">
      <c r="A67" s="143" t="s">
        <v>156</v>
      </c>
      <c r="B67" s="157">
        <v>119201</v>
      </c>
      <c r="C67" s="165">
        <v>90907</v>
      </c>
      <c r="D67" s="49">
        <f>INDEX(Parameters!$D$79:$D$90,MATCH(Inputs!A67,Parameters!$C$79:$C$90,0))</f>
        <v>9</v>
      </c>
    </row>
    <row r="68" spans="1:48">
      <c r="A68" s="143" t="s">
        <v>157</v>
      </c>
      <c r="B68" s="157">
        <v>126703</v>
      </c>
      <c r="C68" s="165">
        <v>101245</v>
      </c>
      <c r="D68" s="49">
        <f>INDEX(Parameters!$D$79:$D$90,MATCH(Inputs!A68,Parameters!$C$79:$C$90,0))</f>
        <v>8</v>
      </c>
    </row>
    <row r="69" spans="1:48">
      <c r="A69" s="143" t="s">
        <v>122</v>
      </c>
      <c r="B69" s="157">
        <v>202015</v>
      </c>
      <c r="C69" s="165">
        <v>176090</v>
      </c>
      <c r="D69" s="49">
        <f>INDEX(Parameters!$D$79:$D$90,MATCH(Inputs!A69,Parameters!$C$79:$C$90,0))</f>
        <v>7</v>
      </c>
    </row>
    <row r="70" spans="1:48">
      <c r="A70" s="143" t="s">
        <v>158</v>
      </c>
      <c r="B70" s="157">
        <v>292688</v>
      </c>
      <c r="C70" s="165">
        <v>254238</v>
      </c>
      <c r="D70" s="49">
        <f>INDEX(Parameters!$D$79:$D$90,MATCH(Inputs!A70,Parameters!$C$79:$C$90,0))</f>
        <v>6</v>
      </c>
    </row>
    <row r="71" spans="1:48">
      <c r="A71" s="144" t="s">
        <v>159</v>
      </c>
      <c r="B71" s="158">
        <v>185449</v>
      </c>
      <c r="C71" s="167">
        <v>108005</v>
      </c>
      <c r="D71" s="49">
        <f>INDEX(Parameters!$D$79:$D$90,MATCH(Inputs!A71,Parameters!$C$79:$C$90,0))</f>
        <v>5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18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200000</v>
      </c>
    </row>
    <row r="82" spans="1:48">
      <c r="A82" t="s">
        <v>169</v>
      </c>
      <c r="B82" s="161">
        <v>20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24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43040</v>
      </c>
      <c r="C4" s="38">
        <f>IFERROR(DATE(YEAR(B4),MONTH(B4)+ROUND(T4/2,0),DAY(B4)),B4)</f>
        <v>43040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12000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43040</v>
      </c>
      <c r="C5" s="39">
        <f>IFERROR(DATE(YEAR(B5),MONTH(B5)+ROUND(T5/2,0),DAY(B5)),B5)</f>
        <v>43101</v>
      </c>
      <c r="D5" s="39">
        <f>IFERROR(DATE(YEAR(B5),MONTH(B5)+T5,DAY(B5)),"")</f>
        <v>43160</v>
      </c>
      <c r="E5" s="39">
        <f>IFERROR(IF($S5=0,"",IF($S5=2,DATE(YEAR(B5),MONTH(B5)+6,DAY(B5)),IF($S5=1,B5,""))),"")</f>
        <v>43221</v>
      </c>
      <c r="F5" s="39">
        <f>IFERROR(IF($S5=0,"",IF($S5=2,DATE(YEAR(C5),MONTH(C5)+6,DAY(C5)),IF($S5=1,C5,""))),"")</f>
        <v>43282</v>
      </c>
      <c r="G5" s="39">
        <f>IFERROR(IF($S5=0,"",IF($S5=2,DATE(YEAR(D5),MONTH(D5)+6,DAY(D5)),IF($S5=1,D5,""))),"")</f>
        <v>43344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949.6173861601835</v>
      </c>
      <c r="M5" s="30">
        <f>L5*H5</f>
        <v>949.6173861601835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37889.73370779132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303.0000000000001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</v>
      </c>
      <c r="Z5" s="34">
        <f>IF(Inputs!I8=Parameters!$F$78,H5*INDEX(Parameters!$A$3:$AI$18,MATCH(Calculations!A5,Parameters!$A$3:$A$18,0),MATCH(Parameters!$Q$3,Parameters!$A$3:$AI$3,0)),0)</f>
        <v>5000</v>
      </c>
      <c r="AA5" s="34">
        <f>IFERROR(IF(Inputs!N8&gt;0,INDEX(Parameters!$A$3:$AI$17,MATCH(Calculations!A5,Parameters!$A$3:$A$17,0),MATCH(Parameters!$R$3,Parameters!$A$3:$AI$3,0)),0)*M5/S5,0)</f>
        <v>1092.059994084211</v>
      </c>
      <c r="AB5" s="34">
        <f>H5*IFERROR(INDEX(Parameters!$A$3:$AI$17,MATCH(Calculations!A5,Parameters!$A$3:$A$17,0),MATCH(Parameters!$O$3,Parameters!$A$3:$AI$3,0)),AVERAGE(Parameters!$O$4:$O$17))*(1-Inputs!$B$25/100)</f>
        <v>8400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43040</v>
      </c>
      <c r="C6" s="39">
        <f>IFERROR(DATE(YEAR(B6),MONTH(B6)+ROUND(T6/2,0),DAY(B6)),B6)</f>
        <v>43040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6000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100000</v>
      </c>
      <c r="B23" s="75">
        <f>SUM(C23:D23)</f>
        <v>12471.63120567376</v>
      </c>
      <c r="C23" s="75">
        <f>IF(Inputs!B56&gt;0,(Inputs!A56-Inputs!B56)/(DATE(YEAR(Inputs!$B$76),MONTH(Inputs!$B$76),DAY(Inputs!$B$76))-DATE(YEAR(Inputs!C56),MONTH(Inputs!C56),DAY(Inputs!C56)))*30,0)</f>
        <v>10638.29787234043</v>
      </c>
      <c r="D23" s="75">
        <f>IF(Inputs!B56&gt;0,Inputs!A56*0.22/12,0)</f>
        <v>1833.333333333333</v>
      </c>
      <c r="E23" s="75">
        <f>IFERROR(ROUNDUP(Inputs!B56/C23,0),0)</f>
        <v>5</v>
      </c>
    </row>
    <row r="24" spans="1:52">
      <c r="A24" s="46">
        <f>Inputs!A57</f>
        <v>100000</v>
      </c>
      <c r="B24" s="46">
        <f>SUM(C24:D24)</f>
        <v>13178.02798982188</v>
      </c>
      <c r="C24" s="46">
        <f>IF(Inputs!B57&gt;0,(Inputs!A57-Inputs!B57)/(DATE(YEAR(Inputs!$B$76),MONTH(Inputs!$B$76),DAY(Inputs!$B$76))-DATE(YEAR(Inputs!C57),MONTH(Inputs!C57),DAY(Inputs!C57)))*30,0)</f>
        <v>11344.69465648855</v>
      </c>
      <c r="D24" s="46">
        <f>IF(Inputs!B57&gt;0,Inputs!A57*0.22/12,0)</f>
        <v>1833.333333333333</v>
      </c>
      <c r="E24" s="46">
        <f>IFERROR(ROUNDUP(Inputs!B57/B24,0),0)</f>
        <v>1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43078</v>
      </c>
      <c r="C33" s="27">
        <f>IF(B33&lt;&gt;"",IF(COUNT($A$33:A33)&lt;=$G$39,0,$G$41)+IF(COUNT($A$33:A33)&lt;=$G$40,0,$G$42),0)</f>
        <v>11666.66666666667</v>
      </c>
      <c r="D33" s="170">
        <f>IFERROR(DATE(YEAR(B33),MONTH(B33),1)," ")</f>
        <v>43070</v>
      </c>
      <c r="F33" t="s">
        <v>165</v>
      </c>
      <c r="G33" s="128">
        <f>IF(Inputs!B79="","",DATE(YEAR(Inputs!B79),MONTH(Inputs!B79),DAY(Inputs!B79)))</f>
        <v>43048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43109</v>
      </c>
      <c r="C34" s="27">
        <f>IF(B34&lt;&gt;"",IF(COUNT($A$33:A34)&lt;=$G$39,0,$G$41)+IF(COUNT($A$33:A34)&lt;=$G$40,0,$G$42),0)</f>
        <v>11666.66666666667</v>
      </c>
      <c r="D34" s="170">
        <f>IFERROR(DATE(YEAR(B34),MONTH(B34),1)," ")</f>
        <v>43101</v>
      </c>
      <c r="F34" t="s">
        <v>166</v>
      </c>
      <c r="G34" s="128">
        <f>IF(Inputs!B80="","",DATE(YEAR(Inputs!B80),MONTH(Inputs!B80),DAY(Inputs!B80)))</f>
        <v>43078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43140</v>
      </c>
      <c r="C35" s="27">
        <f>IF(B35&lt;&gt;"",IF(COUNT($A$33:A35)&lt;=$G$39,0,$G$41)+IF(COUNT($A$33:A35)&lt;=$G$40,0,$G$42),0)</f>
        <v>11666.66666666667</v>
      </c>
      <c r="D35" s="170">
        <f>IFERROR(DATE(YEAR(B35),MONTH(B35),1)," ")</f>
        <v>43132</v>
      </c>
      <c r="F35" t="s">
        <v>168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43168</v>
      </c>
      <c r="C36" s="27">
        <f>IF(B36&lt;&gt;"",IF(COUNT($A$33:A36)&lt;=$G$39,0,$G$41)+IF(COUNT($A$33:A36)&lt;=$G$40,0,$G$42),0)</f>
        <v>11666.66666666667</v>
      </c>
      <c r="D36" s="170">
        <f>IFERROR(DATE(YEAR(B36),MONTH(B36),1)," ")</f>
        <v>43160</v>
      </c>
      <c r="F36" t="s">
        <v>169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43199</v>
      </c>
      <c r="C37" s="27">
        <f>IF(B37&lt;&gt;"",IF(COUNT($A$33:A37)&lt;=$G$39,0,$G$41)+IF(COUNT($A$33:A37)&lt;=$G$40,0,$G$42),0)</f>
        <v>11666.66666666667</v>
      </c>
      <c r="D37" s="170">
        <f>IFERROR(DATE(YEAR(B37),MONTH(B37),1)," ")</f>
        <v>43191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43229</v>
      </c>
      <c r="C38" s="27">
        <f>IF(B38&lt;&gt;"",IF(COUNT($A$33:A38)&lt;=$G$39,0,$G$41)+IF(COUNT($A$33:A38)&lt;=$G$40,0,$G$42),0)</f>
        <v>11666.66666666667</v>
      </c>
      <c r="D38" s="170">
        <f>IFERROR(DATE(YEAR(B38),MONTH(B38),1)," ")</f>
        <v>43221</v>
      </c>
      <c r="F38" t="s">
        <v>231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43260</v>
      </c>
      <c r="C39" s="27">
        <f>IF(B39&lt;&gt;"",IF(COUNT($A$33:A39)&lt;=$G$39,0,$G$41)+IF(COUNT($A$33:A39)&lt;=$G$40,0,$G$42),0)</f>
        <v>11666.66666666667</v>
      </c>
      <c r="D39" s="170">
        <f>IFERROR(DATE(YEAR(B39),MONTH(B39),1)," ")</f>
        <v>43252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43290</v>
      </c>
      <c r="C40" s="27">
        <f>IF(B40&lt;&gt;"",IF(COUNT($A$33:A40)&lt;=$G$39,0,$G$41)+IF(COUNT($A$33:A40)&lt;=$G$40,0,$G$42),0)</f>
        <v>11666.66666666667</v>
      </c>
      <c r="D40" s="170">
        <f>IFERROR(DATE(YEAR(B40),MONTH(B40),1)," ")</f>
        <v>43282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43321</v>
      </c>
      <c r="C41" s="27">
        <f>IF(B41&lt;&gt;"",IF(COUNT($A$33:A41)&lt;=$G$39,0,$G$41)+IF(COUNT($A$33:A41)&lt;=$G$40,0,$G$42),0)</f>
        <v>11666.66666666667</v>
      </c>
      <c r="D41" s="170">
        <f>IFERROR(DATE(YEAR(B41),MONTH(B41),1)," ")</f>
        <v>43313</v>
      </c>
      <c r="F41" t="s">
        <v>232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43352</v>
      </c>
      <c r="C42" s="27">
        <f>IF(B42&lt;&gt;"",IF(COUNT($A$33:A42)&lt;=$G$39,0,$G$41)+IF(COUNT($A$33:A42)&lt;=$G$40,0,$G$42),0)</f>
        <v>11666.66666666667</v>
      </c>
      <c r="D42" s="170">
        <f>IFERROR(DATE(YEAR(B42),MONTH(B42),1)," ")</f>
        <v>43344</v>
      </c>
      <c r="F42" t="s">
        <v>233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43382</v>
      </c>
      <c r="C43" s="27">
        <f>IF(B43&lt;&gt;"",IF(COUNT($A$33:A43)&lt;=$G$39,0,$G$41)+IF(COUNT($A$33:A43)&lt;=$G$40,0,$G$42),0)</f>
        <v>11666.66666666667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43413</v>
      </c>
      <c r="C44" s="27">
        <f>IF(B44&lt;&gt;"",IF(COUNT($A$33:A44)&lt;=$G$39,0,$G$41)+IF(COUNT($A$33:A44)&lt;=$G$40,0,$G$42),0)</f>
        <v>11666.66666666667</v>
      </c>
      <c r="D44" s="170">
        <f>IFERROR(DATE(YEAR(B44),MONTH(B44),1)," ")</f>
        <v>43405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43443</v>
      </c>
      <c r="C45" s="27">
        <f>IF(B45&lt;&gt;"",IF(COUNT($A$33:A45)&lt;=$G$39,0,$G$41)+IF(COUNT($A$33:A45)&lt;=$G$40,0,$G$42),0)</f>
        <v>11666.66666666667</v>
      </c>
      <c r="D45" s="170">
        <f>IFERROR(DATE(YEAR(B45),MONTH(B45),1)," ")</f>
        <v>43435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43474</v>
      </c>
      <c r="C46" s="27">
        <f>IF(B46&lt;&gt;"",IF(COUNT($A$33:A46)&lt;=$G$39,0,$G$41)+IF(COUNT($A$33:A46)&lt;=$G$40,0,$G$42),0)</f>
        <v>11666.66666666667</v>
      </c>
      <c r="D46" s="170">
        <f>IFERROR(DATE(YEAR(B46),MONTH(B46),1)," ")</f>
        <v>43466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43505</v>
      </c>
      <c r="C47" s="27">
        <f>IF(B47&lt;&gt;"",IF(COUNT($A$33:A47)&lt;=$G$39,0,$G$41)+IF(COUNT($A$33:A47)&lt;=$G$40,0,$G$42),0)</f>
        <v>11666.66666666667</v>
      </c>
      <c r="D47" s="170">
        <f>IFERROR(DATE(YEAR(B47),MONTH(B47),1)," ")</f>
        <v>43497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43533</v>
      </c>
      <c r="C48" s="27">
        <f>IF(B48&lt;&gt;"",IF(COUNT($A$33:A48)&lt;=$G$39,0,$G$41)+IF(COUNT($A$33:A48)&lt;=$G$40,0,$G$42),0)</f>
        <v>11666.66666666667</v>
      </c>
      <c r="D48" s="170">
        <f>IFERROR(DATE(YEAR(B48),MONTH(B48),1)," ")</f>
        <v>43525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43564</v>
      </c>
      <c r="C49" s="27">
        <f>IF(B49&lt;&gt;"",IF(COUNT($A$33:A49)&lt;=$G$39,0,$G$41)+IF(COUNT($A$33:A49)&lt;=$G$40,0,$G$42),0)</f>
        <v>11666.66666666667</v>
      </c>
      <c r="D49" s="170">
        <f>IFERROR(DATE(YEAR(B49),MONTH(B49),1)," ")</f>
        <v>43556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43594</v>
      </c>
      <c r="C50" s="27">
        <f>IF(B50&lt;&gt;"",IF(COUNT($A$33:A50)&lt;=$G$39,0,$G$41)+IF(COUNT($A$33:A50)&lt;=$G$40,0,$G$42),0)</f>
        <v>11666.66666666667</v>
      </c>
      <c r="D50" s="170">
        <f>IFERROR(DATE(YEAR(B50),MONTH(B50),1)," ")</f>
        <v>43586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43625</v>
      </c>
      <c r="C51" s="27">
        <f>IF(B51&lt;&gt;"",IF(COUNT($A$33:A51)&lt;=$G$39,0,$G$41)+IF(COUNT($A$33:A51)&lt;=$G$40,0,$G$42),0)</f>
        <v>11666.66666666667</v>
      </c>
      <c r="D51" s="170">
        <f>IFERROR(DATE(YEAR(B51),MONTH(B51),1)," ")</f>
        <v>43617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43655</v>
      </c>
      <c r="C52" s="27">
        <f>IF(B52&lt;&gt;"",IF(COUNT($A$33:A52)&lt;=$G$39,0,$G$41)+IF(COUNT($A$33:A52)&lt;=$G$40,0,$G$42),0)</f>
        <v>11666.66666666667</v>
      </c>
      <c r="D52" s="170">
        <f>IFERROR(DATE(YEAR(B52),MONTH(B52),1)," ")</f>
        <v>43647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43686</v>
      </c>
      <c r="C53" s="27">
        <f>IF(B53&lt;&gt;"",IF(COUNT($A$33:A53)&lt;=$G$39,0,$G$41)+IF(COUNT($A$33:A53)&lt;=$G$40,0,$G$42),0)</f>
        <v>11666.66666666667</v>
      </c>
      <c r="D53" s="170">
        <f>IFERROR(DATE(YEAR(B53),MONTH(B53),1)," ")</f>
        <v>43678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43717</v>
      </c>
      <c r="C54" s="27">
        <f>IF(B54&lt;&gt;"",IF(COUNT($A$33:A54)&lt;=$G$39,0,$G$41)+IF(COUNT($A$33:A54)&lt;=$G$40,0,$G$42),0)</f>
        <v>11666.66666666667</v>
      </c>
      <c r="D54" s="170">
        <f>IFERROR(DATE(YEAR(B54),MONTH(B54),1)," ")</f>
        <v>43709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43747</v>
      </c>
      <c r="C55" s="27">
        <f>IF(B55&lt;&gt;"",IF(COUNT($A$33:A55)&lt;=$G$39,0,$G$41)+IF(COUNT($A$33:A55)&lt;=$G$40,0,$G$42),0)</f>
        <v>11666.66666666667</v>
      </c>
      <c r="D55" s="170">
        <f>IFERROR(DATE(YEAR(B55),MONTH(B55),1)," ")</f>
        <v>43739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43778</v>
      </c>
      <c r="C56" s="27">
        <f>IF(B56&lt;&gt;"",IF(COUNT($A$33:A56)&lt;=$G$39,0,$G$41)+IF(COUNT($A$33:A56)&lt;=$G$40,0,$G$42),0)</f>
        <v>11666.66666666667</v>
      </c>
      <c r="D56" s="170">
        <f>IFERROR(DATE(YEAR(B56),MONTH(B56),1)," ")</f>
        <v>43770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206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300</v>
      </c>
      <c r="B24" s="21" t="s">
        <v>301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302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305</v>
      </c>
      <c r="B26" s="16" t="s">
        <v>301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301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307</v>
      </c>
      <c r="B28" s="71" t="s">
        <v>301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308</v>
      </c>
      <c r="B29" s="118" t="s">
        <v>301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97</v>
      </c>
      <c r="B41" s="191" t="s">
        <v>127</v>
      </c>
      <c r="C41" s="191" t="s">
        <v>92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300</v>
      </c>
      <c r="B43" s="72">
        <v>450</v>
      </c>
      <c r="C43" s="72">
        <v>250</v>
      </c>
    </row>
    <row r="44" spans="1:36">
      <c r="A44" t="s">
        <v>302</v>
      </c>
      <c r="B44" s="72">
        <v>50000</v>
      </c>
      <c r="C44" s="72">
        <v>200000</v>
      </c>
    </row>
    <row r="45" spans="1:36">
      <c r="A45" t="s">
        <v>305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307</v>
      </c>
      <c r="B47" s="72">
        <v>4500</v>
      </c>
      <c r="C47" s="72">
        <v>12000</v>
      </c>
    </row>
    <row r="48" spans="1:36">
      <c r="A48" t="s">
        <v>308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319</v>
      </c>
      <c r="H52" s="12" t="s">
        <v>131</v>
      </c>
      <c r="I52" s="12" t="s">
        <v>320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234</v>
      </c>
      <c r="E53" s="10" t="s">
        <v>193</v>
      </c>
      <c r="F53" s="10" t="s">
        <v>253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127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127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127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127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127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127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127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171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230</v>
      </c>
      <c r="J76" s="11" t="s">
        <v>353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354</v>
      </c>
      <c r="E77" s="12" t="s">
        <v>127</v>
      </c>
      <c r="F77" s="12" t="s">
        <v>127</v>
      </c>
      <c r="G77" s="12" t="s">
        <v>355</v>
      </c>
      <c r="H77" s="12" t="s">
        <v>131</v>
      </c>
      <c r="I77" s="12" t="s">
        <v>356</v>
      </c>
      <c r="J77" s="136" t="s">
        <v>357</v>
      </c>
      <c r="K77" s="12" t="s">
        <v>127</v>
      </c>
      <c r="AJ77" s="12"/>
    </row>
    <row r="78" spans="1:36">
      <c r="A78" t="s">
        <v>127</v>
      </c>
      <c r="B78" s="176">
        <v>5</v>
      </c>
      <c r="C78" s="134" t="s">
        <v>358</v>
      </c>
      <c r="D78" s="133"/>
      <c r="E78" s="12" t="s">
        <v>359</v>
      </c>
      <c r="F78" s="12" t="s">
        <v>93</v>
      </c>
      <c r="G78" s="12" t="s">
        <v>360</v>
      </c>
      <c r="H78" s="12" t="s">
        <v>320</v>
      </c>
      <c r="I78" s="12" t="s">
        <v>361</v>
      </c>
      <c r="J78" s="70" t="s">
        <v>362</v>
      </c>
      <c r="K78" s="12" t="s">
        <v>127</v>
      </c>
      <c r="AJ78" s="12"/>
    </row>
    <row r="79" spans="1:36">
      <c r="B79" s="176">
        <v>10</v>
      </c>
      <c r="C79" s="12" t="s">
        <v>363</v>
      </c>
      <c r="D79" s="12">
        <v>1</v>
      </c>
      <c r="E79" s="12" t="s">
        <v>364</v>
      </c>
      <c r="F79" s="12" t="s">
        <v>365</v>
      </c>
      <c r="G79" s="12" t="s">
        <v>366</v>
      </c>
      <c r="I79" s="12" t="s">
        <v>171</v>
      </c>
      <c r="J79" s="70" t="s">
        <v>367</v>
      </c>
      <c r="K79" s="12" t="s">
        <v>127</v>
      </c>
      <c r="AJ79" s="12"/>
    </row>
    <row r="80" spans="1:36">
      <c r="B80" s="176">
        <v>20</v>
      </c>
      <c r="C80" s="12" t="s">
        <v>368</v>
      </c>
      <c r="D80" s="12">
        <f>D79+1</f>
        <v>2</v>
      </c>
      <c r="E80" s="12" t="s">
        <v>91</v>
      </c>
      <c r="F80" s="12" t="s">
        <v>369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124</v>
      </c>
      <c r="D81" s="12">
        <f>D80+1</f>
        <v>3</v>
      </c>
      <c r="J81" s="70" t="s">
        <v>370</v>
      </c>
      <c r="K81" s="12" t="s">
        <v>92</v>
      </c>
    </row>
    <row r="82" spans="1:36">
      <c r="B82" s="176">
        <v>40</v>
      </c>
      <c r="C82" s="12" t="s">
        <v>371</v>
      </c>
      <c r="D82" s="12">
        <f>D81+1</f>
        <v>4</v>
      </c>
      <c r="J82" s="70"/>
    </row>
    <row r="83" spans="1:36">
      <c r="B83" s="176">
        <v>50</v>
      </c>
      <c r="C83" s="12" t="s">
        <v>159</v>
      </c>
      <c r="D83" s="12">
        <f>D82+1</f>
        <v>5</v>
      </c>
    </row>
    <row r="84" spans="1:36">
      <c r="B84" s="176">
        <v>60</v>
      </c>
      <c r="C84" s="12" t="s">
        <v>158</v>
      </c>
      <c r="D84" s="12">
        <f>D83+1</f>
        <v>6</v>
      </c>
    </row>
    <row r="85" spans="1:36">
      <c r="B85" s="176">
        <v>70</v>
      </c>
      <c r="C85" s="12" t="s">
        <v>122</v>
      </c>
      <c r="D85" s="12">
        <f>D84+1</f>
        <v>7</v>
      </c>
    </row>
    <row r="86" spans="1:36">
      <c r="B86" s="176">
        <v>80</v>
      </c>
      <c r="C86" s="12" t="s">
        <v>157</v>
      </c>
      <c r="D86" s="12">
        <f>D85+1</f>
        <v>8</v>
      </c>
    </row>
    <row r="87" spans="1:36">
      <c r="B87" s="176">
        <v>89.99999999999999</v>
      </c>
      <c r="C87" s="12" t="s">
        <v>156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94</v>
      </c>
      <c r="D89" s="12">
        <f>D88+1</f>
        <v>11</v>
      </c>
    </row>
    <row r="90" spans="1:36">
      <c r="C90" s="12" t="s">
        <v>372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