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<sst xmlns="http://schemas.openxmlformats.org/spreadsheetml/2006/main" uniqueCount="370">
  <si>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</si>
  <si>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</si>
  <si>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</si>
  <si>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</si>
  <si>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</si>
  <si>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</si>
  <si>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</si>
  <si>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</si>
  <si>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</si>
  <si>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</si>
  <si>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</si>
  <si>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</si>
  <si>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</si>
  <si>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</si>
  <si>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</si>
  <si>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</si>
  <si>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</si>
  <si>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</si>
  <si>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</si>
  <si>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</si>
  <si>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</si>
  <si>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</si>
  <si>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</si>
  <si>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</si>
  <si>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</si>
  <si>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</si>
  <si>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</si>
  <si>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</si>
  <si>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</si>
  <si>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</si>
  <si>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</si>
  <si>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</si>
  <si>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</si>
  <si>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</si>
  <si>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</si>
  <si>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</si>
  <si>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</si>
  <si>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</si>
  <si>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</si>
  <si>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</si>
  <si>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</si>
  <si>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</si>
  <si>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</si>
  <si>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</si>
  <si>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</si>
  <si>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</si>
  <si>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</si>
  <si>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</si>
  <si>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</si>
  <si>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</si>
  <si>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</si>
  <si>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</si>
  <si>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</si>
  <si>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</si>
  <si>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</si>
  <si>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</si>
  <si>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</si>
  <si>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</si>
  <si>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</si>
  <si>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</si>
  <si>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</si>
  <si>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</si>
  <si>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</si>
  <si>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</si>
  <si>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</si>
  <si>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</si>
  <si>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</si>
  <si>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</si>
  <si>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</si>
  <si>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</si>
  <si>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</si>
  <si>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</si>
  <si>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</si>
  <si>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</si>
  <si>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</si>
  <si>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</si>
  <si>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</si>
  <si>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</si>
  <si>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</si>
  <si>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</si>
  <si>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</si>
  <si>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</si>
  <si>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</si>
  <si>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</si>
  <si>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</si>
  <si>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</si>
  <si>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</si>
  <si>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</si>
  <si>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</si>
  <si>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</si>
  <si>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</si>
  <si>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</si>
  <si>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</si>
  <si>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</si>
  <si>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</si>
  <si>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</si>
  <si>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</si>
  <si>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</si>
  <si>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</si>
  <si>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</si>
  <si>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</si>
  <si>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</si>
  <si>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</si>
  <si>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</si>
  <si>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</si>
  <si>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</si>
  <si>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</si>
  <si>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</si>
  <si>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</si>
  <si>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</si>
  <si>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</si>
  <si>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</si>
  <si>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civil servant, transport, 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</si>
  <si>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</si>
  <si>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</si>
  <si>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</si>
  <si>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</si>
  <si>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</si>
  <si>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</si>
  <si>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</si>
  <si>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</si>
  <si>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</si>
  <si>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</si>
  <si>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</si>
  <si>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</si>
  <si>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</si>
  <si>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</si>
  <si>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</si>
  <si>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</si>
  <si>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</si>
  <si>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</si>
  <si>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</si>
  <si>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</si>
  <si>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</si>
  <si>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</si>
  <si>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</si>
  <si>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</si>
  <si>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</si>
  <si>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</si>
  <si>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</si>
  <si>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</si>
  <si>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</si>
  <si>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6/21/2017</t>
  </si>
  <si>
    <t>Eclof</t>
  </si>
  <si>
    <t>timely repayment</t>
  </si>
  <si>
    <t>2/20/2017</t>
  </si>
  <si>
    <t>Musoni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</si>
  <si>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</si>
  <si>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</si>
  <si>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</si>
  <si>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</si>
  <si>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</si>
  <si>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</si>
  <si>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</si>
  <si>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</si>
  <si>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</si>
  <si>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</si>
  <si>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</si>
  <si>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</si>
  <si>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2017/11/9</t>
  </si>
  <si>
    <t>Loan terms</t>
  </si>
  <si>
    <t>Expected disbursement date</t>
  </si>
  <si>
    <t>Expected first repayment date</t>
  </si>
  <si>
    <t>2017/12/9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</si>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</sst>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civil servant, transport, 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0.161912897297543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0.1252059907834101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680869.6666666665</v>
      </c>
    </row>
    <row r="18" spans="1:7">
      <c r="B18" s="1" t="s">
        <v>12</v>
      </c>
      <c r="C18" s="36">
        <f>MIN(Output!B6:M6)</f>
        <v>38815.03546099289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62660.60992907801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50058.70212765956</v>
      </c>
      <c r="C6" s="51">
        <f>C30-C88</f>
        <v>58815.03546099289</v>
      </c>
      <c r="D6" s="51">
        <f>D30-D88</f>
        <v>38815.03546099289</v>
      </c>
      <c r="E6" s="51">
        <f>E30-E88</f>
        <v>58815.03546099289</v>
      </c>
      <c r="F6" s="51">
        <f>F30-F88</f>
        <v>58815.03546099289</v>
      </c>
      <c r="G6" s="51">
        <f>G30-G88</f>
        <v>58815.03546099289</v>
      </c>
      <c r="H6" s="51">
        <f>H30-H88</f>
        <v>58815.03546099289</v>
      </c>
      <c r="I6" s="51">
        <f>I30-I88</f>
        <v>58815.03546099289</v>
      </c>
      <c r="J6" s="51">
        <f>J30-J88</f>
        <v>58815.03546099289</v>
      </c>
      <c r="K6" s="51">
        <f>K30-K88</f>
        <v>58815.03546099289</v>
      </c>
      <c r="L6" s="51">
        <f>L30-L88</f>
        <v>58815.03546099289</v>
      </c>
      <c r="M6" s="51">
        <f>M30-M88</f>
        <v>62660.60992907801</v>
      </c>
      <c r="N6" s="51">
        <f>N30-N88</f>
        <v>60866.66666666666</v>
      </c>
      <c r="O6" s="51">
        <f>O30-O88</f>
        <v>66866.66666666666</v>
      </c>
      <c r="P6" s="51">
        <f>P30-P88</f>
        <v>46866.66666666666</v>
      </c>
      <c r="Q6" s="51">
        <f>Q30-Q88</f>
        <v>66866.66666666666</v>
      </c>
      <c r="R6" s="51">
        <f>R30-R88</f>
        <v>66866.66666666666</v>
      </c>
      <c r="S6" s="51">
        <f>S30-S88</f>
        <v>66866.66666666666</v>
      </c>
      <c r="T6" s="51">
        <f>T30-T88</f>
        <v>66866.66666666666</v>
      </c>
      <c r="U6" s="51">
        <f>U30-U88</f>
        <v>66866.66666666666</v>
      </c>
      <c r="V6" s="51">
        <f>V30-V88</f>
        <v>66866.66666666666</v>
      </c>
      <c r="W6" s="51">
        <f>W30-W88</f>
        <v>66866.66666666666</v>
      </c>
      <c r="X6" s="51">
        <f>X30-X88</f>
        <v>66866.66666666666</v>
      </c>
      <c r="Y6" s="51">
        <f>Y30-Y88</f>
        <v>66866.66666666666</v>
      </c>
      <c r="Z6" s="51">
        <f>SUMIF($B$13:$Y$13,"Yes",B6:Y6)</f>
        <v>1457269.666666667</v>
      </c>
      <c r="AA6" s="51">
        <f>AA30-AA88</f>
        <v>680869.6666666667</v>
      </c>
      <c r="AB6" s="51">
        <f>AB30-AB88</f>
        <v>1457269.666666667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3213</v>
      </c>
      <c r="I7" s="80">
        <f>IF(ISERROR(VLOOKUP(MONTH(I5),Inputs!$D$66:$D$71,1,0)),"",INDEX(Inputs!$B$66:$B$71,MATCH(MONTH(Output!I5),Inputs!$D$66:$D$71,0))-INDEX(Inputs!$C$66:$C$71,MATCH(MONTH(Output!I5),Inputs!$D$66:$D$71,0)))</f>
        <v>3250</v>
      </c>
      <c r="J7" s="80">
        <f>IF(ISERROR(VLOOKUP(MONTH(J5),Inputs!$D$66:$D$71,1,0)),"",INDEX(Inputs!$B$66:$B$71,MATCH(MONTH(Output!J5),Inputs!$D$66:$D$71,0))-INDEX(Inputs!$C$66:$C$71,MATCH(MONTH(Output!J5),Inputs!$D$66:$D$71,0)))</f>
        <v>-4075</v>
      </c>
      <c r="K7" s="80">
        <f>IF(ISERROR(VLOOKUP(MONTH(K5),Inputs!$D$66:$D$71,1,0)),"",INDEX(Inputs!$B$66:$B$71,MATCH(MONTH(Output!K5),Inputs!$D$66:$D$71,0))-INDEX(Inputs!$C$66:$C$71,MATCH(MONTH(Output!K5),Inputs!$D$66:$D$71,0)))</f>
        <v>812</v>
      </c>
      <c r="L7" s="80">
        <f>IF(ISERROR(VLOOKUP(MONTH(L5),Inputs!$D$66:$D$71,1,0)),"",INDEX(Inputs!$B$66:$B$71,MATCH(MONTH(Output!L5),Inputs!$D$66:$D$71,0))-INDEX(Inputs!$C$66:$C$71,MATCH(MONTH(Output!L5),Inputs!$D$66:$D$71,0)))</f>
        <v>-706</v>
      </c>
      <c r="M7" s="80">
        <f>IF(ISERROR(VLOOKUP(MONTH(M5),Inputs!$D$66:$D$71,1,0)),"",INDEX(Inputs!$B$66:$B$71,MATCH(MONTH(Output!M5),Inputs!$D$66:$D$71,0))-INDEX(Inputs!$C$66:$C$71,MATCH(MONTH(Output!M5),Inputs!$D$66:$D$71,0)))</f>
        <v>-13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3213</v>
      </c>
      <c r="U7" s="80">
        <f>IF(ISERROR(VLOOKUP(MONTH(U5),Inputs!$D$66:$D$71,1,0)),"",INDEX(Inputs!$B$66:$B$71,MATCH(MONTH(Output!U5),Inputs!$D$66:$D$71,0))-INDEX(Inputs!$C$66:$C$71,MATCH(MONTH(Output!U5),Inputs!$D$66:$D$71,0)))</f>
        <v>3250</v>
      </c>
      <c r="V7" s="80">
        <f>IF(ISERROR(VLOOKUP(MONTH(V5),Inputs!$D$66:$D$71,1,0)),"",INDEX(Inputs!$B$66:$B$71,MATCH(MONTH(Output!V5),Inputs!$D$66:$D$71,0))-INDEX(Inputs!$C$66:$C$71,MATCH(MONTH(Output!V5),Inputs!$D$66:$D$71,0)))</f>
        <v>-4075</v>
      </c>
      <c r="W7" s="80">
        <f>IF(ISERROR(VLOOKUP(MONTH(W5),Inputs!$D$66:$D$71,1,0)),"",INDEX(Inputs!$B$66:$B$71,MATCH(MONTH(Output!W5),Inputs!$D$66:$D$71,0))-INDEX(Inputs!$C$66:$C$71,MATCH(MONTH(Output!W5),Inputs!$D$66:$D$71,0)))</f>
        <v>812</v>
      </c>
      <c r="X7" s="80">
        <f>IF(ISERROR(VLOOKUP(MONTH(X5),Inputs!$D$66:$D$71,1,0)),"",INDEX(Inputs!$B$66:$B$71,MATCH(MONTH(Output!X5),Inputs!$D$66:$D$71,0))-INDEX(Inputs!$C$66:$C$71,MATCH(MONTH(Output!X5),Inputs!$D$66:$D$71,0)))</f>
        <v>-706</v>
      </c>
      <c r="Y7" s="80">
        <f>IF(ISERROR(VLOOKUP(MONTH(Y5),Inputs!$D$66:$D$71,1,0)),"",INDEX(Inputs!$B$66:$B$71,MATCH(MONTH(Output!Y5),Inputs!$D$66:$D$71,0))-INDEX(Inputs!$C$66:$C$71,MATCH(MONTH(Output!Y5),Inputs!$D$66:$D$71,0)))</f>
        <v>-13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11666.66666666667</v>
      </c>
      <c r="P10" s="37">
        <f>SUMPRODUCT((Calculations!$D$33:$D$84=Output!P5)+0,Calculations!$C$33:$C$84)</f>
        <v>11666.66666666667</v>
      </c>
      <c r="Q10" s="37">
        <f>SUMPRODUCT((Calculations!$D$33:$D$84=Output!Q5)+0,Calculations!$C$33:$C$84)</f>
        <v>11666.66666666667</v>
      </c>
      <c r="R10" s="37">
        <f>SUMPRODUCT((Calculations!$D$33:$D$84=Output!R5)+0,Calculations!$C$33:$C$84)</f>
        <v>11666.66666666667</v>
      </c>
      <c r="S10" s="37">
        <f>SUMPRODUCT((Calculations!$D$33:$D$84=Output!S5)+0,Calculations!$C$33:$C$84)</f>
        <v>11666.66666666667</v>
      </c>
      <c r="T10" s="37">
        <f>SUMPRODUCT((Calculations!$D$33:$D$84=Output!T5)+0,Calculations!$C$33:$C$84)</f>
        <v>11666.66666666667</v>
      </c>
      <c r="U10" s="37">
        <f>SUMPRODUCT((Calculations!$D$33:$D$84=Output!U5)+0,Calculations!$C$33:$C$84)</f>
        <v>11666.66666666667</v>
      </c>
      <c r="V10" s="37">
        <f>SUMPRODUCT((Calculations!$D$33:$D$84=Output!V5)+0,Calculations!$C$33:$C$84)</f>
        <v>11666.66666666667</v>
      </c>
      <c r="W10" s="37">
        <f>SUMPRODUCT((Calculations!$D$33:$D$84=Output!W5)+0,Calculations!$C$33:$C$84)</f>
        <v>11666.66666666667</v>
      </c>
      <c r="X10" s="37">
        <f>SUMPRODUCT((Calculations!$D$33:$D$84=Output!X5)+0,Calculations!$C$33:$C$84)</f>
        <v>11666.66666666667</v>
      </c>
      <c r="Y10" s="37">
        <f>SUMPRODUCT((Calculations!$D$33:$D$84=Output!Y5)+0,Calculations!$C$33:$C$84)</f>
        <v>11666.66666666667</v>
      </c>
      <c r="Z10" s="37">
        <f>SUMIF($B$13:$Y$13,"Yes",B10:Y10)</f>
        <v>268333.3333333333</v>
      </c>
      <c r="AA10" s="37">
        <f>SUM(B10:M10)</f>
        <v>128333.3333333334</v>
      </c>
      <c r="AB10" s="37">
        <f>SUM(B10:Y10)</f>
        <v>268333.3333333333</v>
      </c>
    </row>
    <row r="11" spans="1:30" customHeight="1" ht="15.75">
      <c r="A11" s="43" t="s">
        <v>31</v>
      </c>
      <c r="B11" s="80">
        <f>B6+B9-B10</f>
        <v>250058.7021276596</v>
      </c>
      <c r="C11" s="80">
        <f>C6+C9-C10</f>
        <v>47148.36879432622</v>
      </c>
      <c r="D11" s="80">
        <f>D6+D9-D10</f>
        <v>27148.36879432622</v>
      </c>
      <c r="E11" s="80">
        <f>E6+E9-E10</f>
        <v>47148.36879432622</v>
      </c>
      <c r="F11" s="80">
        <f>F6+F9-F10</f>
        <v>47148.36879432622</v>
      </c>
      <c r="G11" s="80">
        <f>G6+G9-G10</f>
        <v>47148.36879432622</v>
      </c>
      <c r="H11" s="80">
        <f>H6+H9-H10</f>
        <v>47148.36879432622</v>
      </c>
      <c r="I11" s="80">
        <f>I6+I9-I10</f>
        <v>47148.36879432622</v>
      </c>
      <c r="J11" s="80">
        <f>J6+J9-J10</f>
        <v>47148.36879432622</v>
      </c>
      <c r="K11" s="80">
        <f>K6+K9-K10</f>
        <v>47148.36879432622</v>
      </c>
      <c r="L11" s="80">
        <f>L6+L9-L10</f>
        <v>47148.36879432622</v>
      </c>
      <c r="M11" s="80">
        <f>M6+M9-M10</f>
        <v>50993.94326241134</v>
      </c>
      <c r="N11" s="80">
        <f>N6+N9-N10</f>
        <v>49199.99999999999</v>
      </c>
      <c r="O11" s="80">
        <f>O6+O9-O10</f>
        <v>55199.99999999999</v>
      </c>
      <c r="P11" s="80">
        <f>P6+P9-P10</f>
        <v>35199.99999999999</v>
      </c>
      <c r="Q11" s="80">
        <f>Q6+Q9-Q10</f>
        <v>55199.99999999999</v>
      </c>
      <c r="R11" s="80">
        <f>R6+R9-R10</f>
        <v>55199.99999999999</v>
      </c>
      <c r="S11" s="80">
        <f>S6+S9-S10</f>
        <v>55199.99999999999</v>
      </c>
      <c r="T11" s="80">
        <f>T6+T9-T10</f>
        <v>55199.99999999999</v>
      </c>
      <c r="U11" s="80">
        <f>U6+U9-U10</f>
        <v>55199.99999999999</v>
      </c>
      <c r="V11" s="80">
        <f>V6+V9-V10</f>
        <v>55199.99999999999</v>
      </c>
      <c r="W11" s="80">
        <f>W6+W9-W10</f>
        <v>55199.99999999999</v>
      </c>
      <c r="X11" s="80">
        <f>X6+X9-X10</f>
        <v>55199.99999999999</v>
      </c>
      <c r="Y11" s="80">
        <f>Y6+Y9-Y10</f>
        <v>55199.99999999999</v>
      </c>
      <c r="Z11" s="85">
        <f>SUMIF($B$13:$Y$13,"Yes",B11:Y11)</f>
        <v>1388936.333333333</v>
      </c>
      <c r="AA11" s="80">
        <f>SUM(B11:M11)</f>
        <v>752536.333333333</v>
      </c>
      <c r="AB11" s="46">
        <f>SUM(B11:Y11)</f>
        <v>1388936.333333333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0.03777163690816581</v>
      </c>
      <c r="D12" s="82">
        <f>IF(D13="Yes",IF(SUM($B$10:D10)/(SUM($B$6:D6)+SUM($B$9:D9))&lt;0,999.99,SUM($B$10:D10)/(SUM($B$6:D6)+SUM($B$9:D9))),"")</f>
        <v>0.0671098267817858</v>
      </c>
      <c r="E12" s="82">
        <f>IF(E13="Yes",IF(SUM($B$10:E10)/(SUM($B$6:E6)+SUM($B$9:E9))&lt;0,999.99,SUM($B$10:E10)/(SUM($B$6:E6)+SUM($B$9:E9))),"")</f>
        <v>0.08610005433463004</v>
      </c>
      <c r="F12" s="82">
        <f>IF(F13="Yes",IF(SUM($B$10:F10)/(SUM($B$6:F6)+SUM($B$9:F9))&lt;0,999.99,SUM($B$10:F10)/(SUM($B$6:F6)+SUM($B$9:F9))),"")</f>
        <v>0.1002896557301509</v>
      </c>
      <c r="G12" s="82">
        <f>IF(G13="Yes",IF(SUM($B$10:G10)/(SUM($B$6:G6)+SUM($B$9:G9))&lt;0,999.99,SUM($B$10:G10)/(SUM($B$6:G6)+SUM($B$9:G9))),"")</f>
        <v>0.1112947199606316</v>
      </c>
      <c r="H12" s="82">
        <f>IF(H13="Yes",IF(SUM($B$10:H10)/(SUM($B$6:H6)+SUM($B$9:H9))&lt;0,999.99,SUM($B$10:H10)/(SUM($B$6:H6)+SUM($B$9:H9))),"")</f>
        <v>0.1200791325133085</v>
      </c>
      <c r="I12" s="82">
        <f>IF(I13="Yes",IF(SUM($B$10:I10)/(SUM($B$6:I6)+SUM($B$9:I9))&lt;0,999.99,SUM($B$10:I10)/(SUM($B$6:I6)+SUM($B$9:I9))),"")</f>
        <v>0.1272534342596548</v>
      </c>
      <c r="J12" s="82">
        <f>IF(J13="Yes",IF(SUM($B$10:J10)/(SUM($B$6:J6)+SUM($B$9:J9))&lt;0,999.99,SUM($B$10:J10)/(SUM($B$6:J6)+SUM($B$9:J9))),"")</f>
        <v>0.1332231414630232</v>
      </c>
      <c r="K12" s="82">
        <f>IF(K13="Yes",IF(SUM($B$10:K10)/(SUM($B$6:K6)+SUM($B$9:K9))&lt;0,999.99,SUM($B$10:K10)/(SUM($B$6:K6)+SUM($B$9:K9))),"")</f>
        <v>0.1382681415156358</v>
      </c>
      <c r="L12" s="82">
        <f>IF(L13="Yes",IF(SUM($B$10:L10)/(SUM($B$6:L6)+SUM($B$9:L9))&lt;0,999.99,SUM($B$10:L10)/(SUM($B$6:L6)+SUM($B$9:L9))),"")</f>
        <v>0.1425878456196109</v>
      </c>
      <c r="M12" s="82">
        <f>IF(M13="Yes",IF(SUM($B$10:M10)/(SUM($B$6:M6)+SUM($B$9:M9))&lt;0,999.99,SUM($B$10:M10)/(SUM($B$6:M6)+SUM($B$9:M9))),"")</f>
        <v>0.1456893547248194</v>
      </c>
      <c r="N12" s="82">
        <f>IF(N13="Yes",IF(SUM($B$10:N10)/(SUM($B$6:N6)+SUM($B$9:N9))&lt;0,999.99,SUM($B$10:N10)/(SUM($B$6:N6)+SUM($B$9:N9))),"")</f>
        <v>0.1486615680468242</v>
      </c>
      <c r="O12" s="82">
        <f>IF(O13="Yes",IF(SUM($B$10:O10)/(SUM($B$6:O6)+SUM($B$9:O9))&lt;0,999.99,SUM($B$10:O10)/(SUM($B$6:O6)+SUM($B$9:O9))),"")</f>
        <v>0.1503730076815821</v>
      </c>
      <c r="P12" s="82">
        <f>IF(P13="Yes",IF(SUM($B$10:P10)/(SUM($B$6:P6)+SUM($B$9:P9))&lt;0,999.99,SUM($B$10:P10)/(SUM($B$6:P6)+SUM($B$9:P9))),"")</f>
        <v>0.1547494338223521</v>
      </c>
      <c r="Q12" s="82">
        <f>IF(Q13="Yes",IF(SUM($B$10:Q10)/(SUM($B$6:Q6)+SUM($B$9:Q9))&lt;0,999.99,SUM($B$10:Q10)/(SUM($B$6:Q6)+SUM($B$9:Q9))),"")</f>
        <v>0.1559247391379115</v>
      </c>
      <c r="R12" s="82">
        <f>IF(R13="Yes",IF(SUM($B$10:R10)/(SUM($B$6:R6)+SUM($B$9:R9))&lt;0,999.99,SUM($B$10:R10)/(SUM($B$6:R6)+SUM($B$9:R9))),"")</f>
        <v>0.1569678740018876</v>
      </c>
      <c r="S12" s="82">
        <f>IF(S13="Yes",IF(SUM($B$10:S10)/(SUM($B$6:S6)+SUM($B$9:S9))&lt;0,999.99,SUM($B$10:S10)/(SUM($B$6:S6)+SUM($B$9:S9))),"")</f>
        <v>0.1578999466324719</v>
      </c>
      <c r="T12" s="82">
        <f>IF(T13="Yes",IF(SUM($B$10:T10)/(SUM($B$6:T6)+SUM($B$9:T9))&lt;0,999.99,SUM($B$10:T10)/(SUM($B$6:T6)+SUM($B$9:T9))),"")</f>
        <v>0.1587377976617167</v>
      </c>
      <c r="U12" s="82">
        <f>IF(U13="Yes",IF(SUM($B$10:U10)/(SUM($B$6:U6)+SUM($B$9:U9))&lt;0,999.99,SUM($B$10:U10)/(SUM($B$6:U6)+SUM($B$9:U9))),"")</f>
        <v>0.1594950267531921</v>
      </c>
      <c r="V12" s="82">
        <f>IF(V13="Yes",IF(SUM($B$10:V10)/(SUM($B$6:V6)+SUM($B$9:V9))&lt;0,999.99,SUM($B$10:V10)/(SUM($B$6:V6)+SUM($B$9:V9))),"")</f>
        <v>0.1601827364657601</v>
      </c>
      <c r="W12" s="82">
        <f>IF(W13="Yes",IF(SUM($B$10:W10)/(SUM($B$6:W6)+SUM($B$9:W9))&lt;0,999.99,SUM($B$10:W10)/(SUM($B$6:W6)+SUM($B$9:W9))),"")</f>
        <v>0.1608100802321966</v>
      </c>
      <c r="X12" s="82">
        <f>IF(X13="Yes",IF(SUM($B$10:X10)/(SUM($B$6:X6)+SUM($B$9:X9))&lt;0,999.99,SUM($B$10:X10)/(SUM($B$6:X6)+SUM($B$9:X9))),"")</f>
        <v>0.1613846721030246</v>
      </c>
      <c r="Y12" s="82">
        <f>IF(Y13="Yes",IF(SUM($B$10:Y10)/(SUM($B$6:Y6)+SUM($B$9:Y9))&lt;0,999.99,SUM($B$10:Y10)/(SUM($B$6:Y6)+SUM($B$9:Y9))),"")</f>
        <v>0.161912897297543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3600000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150000</v>
      </c>
      <c r="C30" s="19">
        <f>SUM(C18:C29)</f>
        <v>150000</v>
      </c>
      <c r="D30" s="19">
        <f>SUM(D18:D29)</f>
        <v>150000</v>
      </c>
      <c r="E30" s="19">
        <f>SUM(E18:E29)</f>
        <v>150000</v>
      </c>
      <c r="F30" s="19">
        <f>SUM(F18:F29)</f>
        <v>150000</v>
      </c>
      <c r="G30" s="19">
        <f>SUM(G18:G29)</f>
        <v>150000</v>
      </c>
      <c r="H30" s="19">
        <f>SUM(H18:H29)</f>
        <v>150000</v>
      </c>
      <c r="I30" s="19">
        <f>SUM(I18:I29)</f>
        <v>150000</v>
      </c>
      <c r="J30" s="19">
        <f>SUM(J18:J29)</f>
        <v>150000</v>
      </c>
      <c r="K30" s="19">
        <f>SUM(K18:K29)</f>
        <v>150000</v>
      </c>
      <c r="L30" s="19">
        <f>SUM(L18:L29)</f>
        <v>150000</v>
      </c>
      <c r="M30" s="19">
        <f>SUM(M18:M29)</f>
        <v>150000</v>
      </c>
      <c r="N30" s="19">
        <f>SUM(N18:N29)</f>
        <v>150000</v>
      </c>
      <c r="O30" s="19">
        <f>SUM(O18:O29)</f>
        <v>150000</v>
      </c>
      <c r="P30" s="19">
        <f>SUM(P18:P29)</f>
        <v>150000</v>
      </c>
      <c r="Q30" s="19">
        <f>SUM(Q18:Q29)</f>
        <v>150000</v>
      </c>
      <c r="R30" s="19">
        <f>SUM(R18:R29)</f>
        <v>150000</v>
      </c>
      <c r="S30" s="19">
        <f>SUM(S18:S29)</f>
        <v>150000</v>
      </c>
      <c r="T30" s="19">
        <f>SUM(T18:T29)</f>
        <v>150000</v>
      </c>
      <c r="U30" s="19">
        <f>SUM(U18:U29)</f>
        <v>150000</v>
      </c>
      <c r="V30" s="19">
        <f>SUM(V18:V29)</f>
        <v>150000</v>
      </c>
      <c r="W30" s="19">
        <f>SUM(W18:W29)</f>
        <v>150000</v>
      </c>
      <c r="X30" s="19">
        <f>SUM(X18:X29)</f>
        <v>150000</v>
      </c>
      <c r="Y30" s="19">
        <f>SUM(Y18:Y29)</f>
        <v>150000</v>
      </c>
      <c r="Z30" s="19">
        <f>SUMIF($B$13:$Y$13,"Yes",B30:Y30)</f>
        <v>3600000</v>
      </c>
      <c r="AA30" s="19">
        <f>SUM(B30:M30)</f>
        <v>1800000</v>
      </c>
      <c r="AB30" s="19">
        <f>SUM(B30:Y30)</f>
        <v>3600000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Other crops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20000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20000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40000</v>
      </c>
      <c r="AA72" s="46">
        <f>SUM(B72:M72)</f>
        <v>20000</v>
      </c>
      <c r="AB72" s="46">
        <f>SUM(B72:Y72)</f>
        <v>40000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960000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43133.33333333334</v>
      </c>
      <c r="C81" s="46">
        <f>(SUM($AA$18:$AA$29)-SUM($AA$36,$AA$42,$AA$48,$AA$54,$AA$60,$AA$66,$AA$72:$AA$79))*Parameters!$B$37/12</f>
        <v>43133.33333333334</v>
      </c>
      <c r="D81" s="46">
        <f>(SUM($AA$18:$AA$29)-SUM($AA$36,$AA$42,$AA$48,$AA$54,$AA$60,$AA$66,$AA$72:$AA$79))*Parameters!$B$37/12</f>
        <v>43133.33333333334</v>
      </c>
      <c r="E81" s="46">
        <f>(SUM($AA$18:$AA$29)-SUM($AA$36,$AA$42,$AA$48,$AA$54,$AA$60,$AA$66,$AA$72:$AA$79))*Parameters!$B$37/12</f>
        <v>43133.33333333334</v>
      </c>
      <c r="F81" s="46">
        <f>(SUM($AA$18:$AA$29)-SUM($AA$36,$AA$42,$AA$48,$AA$54,$AA$60,$AA$66,$AA$72:$AA$79))*Parameters!$B$37/12</f>
        <v>43133.33333333334</v>
      </c>
      <c r="G81" s="46">
        <f>(SUM($AA$18:$AA$29)-SUM($AA$36,$AA$42,$AA$48,$AA$54,$AA$60,$AA$66,$AA$72:$AA$79))*Parameters!$B$37/12</f>
        <v>43133.33333333334</v>
      </c>
      <c r="H81" s="46">
        <f>(SUM($AA$18:$AA$29)-SUM($AA$36,$AA$42,$AA$48,$AA$54,$AA$60,$AA$66,$AA$72:$AA$79))*Parameters!$B$37/12</f>
        <v>43133.33333333334</v>
      </c>
      <c r="I81" s="46">
        <f>(SUM($AA$18:$AA$29)-SUM($AA$36,$AA$42,$AA$48,$AA$54,$AA$60,$AA$66,$AA$72:$AA$79))*Parameters!$B$37/12</f>
        <v>43133.33333333334</v>
      </c>
      <c r="J81" s="46">
        <f>(SUM($AA$18:$AA$29)-SUM($AA$36,$AA$42,$AA$48,$AA$54,$AA$60,$AA$66,$AA$72:$AA$79))*Parameters!$B$37/12</f>
        <v>43133.33333333334</v>
      </c>
      <c r="K81" s="46">
        <f>(SUM($AA$18:$AA$29)-SUM($AA$36,$AA$42,$AA$48,$AA$54,$AA$60,$AA$66,$AA$72:$AA$79))*Parameters!$B$37/12</f>
        <v>43133.33333333334</v>
      </c>
      <c r="L81" s="46">
        <f>(SUM($AA$18:$AA$29)-SUM($AA$36,$AA$42,$AA$48,$AA$54,$AA$60,$AA$66,$AA$72:$AA$79))*Parameters!$B$37/12</f>
        <v>43133.33333333334</v>
      </c>
      <c r="M81" s="46">
        <f>(SUM($AA$18:$AA$29)-SUM($AA$36,$AA$42,$AA$48,$AA$54,$AA$60,$AA$66,$AA$72:$AA$79))*Parameters!$B$37/12</f>
        <v>43133.33333333334</v>
      </c>
      <c r="N81" s="46">
        <f>(SUM($AA$18:$AA$29)-SUM($AA$36,$AA$42,$AA$48,$AA$54,$AA$60,$AA$66,$AA$72:$AA$79))*Parameters!$B$37/12</f>
        <v>43133.33333333334</v>
      </c>
      <c r="O81" s="46">
        <f>(SUM($AA$18:$AA$29)-SUM($AA$36,$AA$42,$AA$48,$AA$54,$AA$60,$AA$66,$AA$72:$AA$79))*Parameters!$B$37/12</f>
        <v>43133.33333333334</v>
      </c>
      <c r="P81" s="46">
        <f>(SUM($AA$18:$AA$29)-SUM($AA$36,$AA$42,$AA$48,$AA$54,$AA$60,$AA$66,$AA$72:$AA$79))*Parameters!$B$37/12</f>
        <v>43133.33333333334</v>
      </c>
      <c r="Q81" s="46">
        <f>(SUM($AA$18:$AA$29)-SUM($AA$36,$AA$42,$AA$48,$AA$54,$AA$60,$AA$66,$AA$72:$AA$79))*Parameters!$B$37/12</f>
        <v>43133.33333333334</v>
      </c>
      <c r="R81" s="46">
        <f>(SUM($AA$18:$AA$29)-SUM($AA$36,$AA$42,$AA$48,$AA$54,$AA$60,$AA$66,$AA$72:$AA$79))*Parameters!$B$37/12</f>
        <v>43133.33333333334</v>
      </c>
      <c r="S81" s="46">
        <f>(SUM($AA$18:$AA$29)-SUM($AA$36,$AA$42,$AA$48,$AA$54,$AA$60,$AA$66,$AA$72:$AA$79))*Parameters!$B$37/12</f>
        <v>43133.33333333334</v>
      </c>
      <c r="T81" s="46">
        <f>(SUM($AA$18:$AA$29)-SUM($AA$36,$AA$42,$AA$48,$AA$54,$AA$60,$AA$66,$AA$72:$AA$79))*Parameters!$B$37/12</f>
        <v>43133.33333333334</v>
      </c>
      <c r="U81" s="46">
        <f>(SUM($AA$18:$AA$29)-SUM($AA$36,$AA$42,$AA$48,$AA$54,$AA$60,$AA$66,$AA$72:$AA$79))*Parameters!$B$37/12</f>
        <v>43133.33333333334</v>
      </c>
      <c r="V81" s="46">
        <f>(SUM($AA$18:$AA$29)-SUM($AA$36,$AA$42,$AA$48,$AA$54,$AA$60,$AA$66,$AA$72:$AA$79))*Parameters!$B$37/12</f>
        <v>43133.33333333334</v>
      </c>
      <c r="W81" s="46">
        <f>(SUM($AA$18:$AA$29)-SUM($AA$36,$AA$42,$AA$48,$AA$54,$AA$60,$AA$66,$AA$72:$AA$79))*Parameters!$B$37/12</f>
        <v>43133.33333333334</v>
      </c>
      <c r="X81" s="46">
        <f>(SUM($AA$18:$AA$29)-SUM($AA$36,$AA$42,$AA$48,$AA$54,$AA$60,$AA$66,$AA$72:$AA$79))*Parameters!$B$37/12</f>
        <v>43133.33333333334</v>
      </c>
      <c r="Y81" s="46">
        <f>(SUM($AA$18:$AA$29)-SUM($AA$36,$AA$42,$AA$48,$AA$54,$AA$60,$AA$66,$AA$72:$AA$79))*Parameters!$B$37/12</f>
        <v>43133.33333333334</v>
      </c>
      <c r="Z81" s="46">
        <f>SUMIF($B$13:$Y$13,"Yes",B81:Y81)</f>
        <v>1035200</v>
      </c>
      <c r="AA81" s="46">
        <f>SUM(B81:M81)</f>
        <v>517599.9999999999</v>
      </c>
      <c r="AB81" s="46">
        <f>SUM(B81:Y81)</f>
        <v>1035200</v>
      </c>
    </row>
    <row r="82" spans="1:30">
      <c r="A82" s="16" t="s">
        <v>52</v>
      </c>
      <c r="B82" s="46">
        <f>SUM(B83:B87)</f>
        <v>10807.96453900709</v>
      </c>
      <c r="C82" s="46">
        <f>SUM(C83:C87)</f>
        <v>8051.631205673759</v>
      </c>
      <c r="D82" s="46">
        <f>SUM(D83:D87)</f>
        <v>8051.631205673759</v>
      </c>
      <c r="E82" s="46">
        <f>SUM(E83:E87)</f>
        <v>8051.631205673759</v>
      </c>
      <c r="F82" s="46">
        <f>SUM(F83:F87)</f>
        <v>8051.631205673759</v>
      </c>
      <c r="G82" s="46">
        <f>SUM(G83:G87)</f>
        <v>8051.631205673759</v>
      </c>
      <c r="H82" s="46">
        <f>SUM(H83:H87)</f>
        <v>8051.631205673759</v>
      </c>
      <c r="I82" s="46">
        <f>SUM(I83:I87)</f>
        <v>8051.631205673759</v>
      </c>
      <c r="J82" s="46">
        <f>SUM(J83:J87)</f>
        <v>8051.631205673759</v>
      </c>
      <c r="K82" s="46">
        <f>SUM(K83:K87)</f>
        <v>8051.631205673759</v>
      </c>
      <c r="L82" s="46">
        <f>SUM(L83:L87)</f>
        <v>8051.631205673759</v>
      </c>
      <c r="M82" s="46">
        <f>SUM(M83:M87)</f>
        <v>4206.05673758865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95530.33333333333</v>
      </c>
      <c r="AA82" s="46">
        <f>SUM(B82:M82)</f>
        <v>95530.33333333333</v>
      </c>
      <c r="AB82" s="46">
        <f>SUM(B82:Y82)</f>
        <v>95530.33333333333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8051.631205673759</v>
      </c>
      <c r="C83" s="46">
        <f>IF(Calculations!$E23&gt;COUNT(Output!$B$35:C$35),Calculations!$B23,IF(Calculations!$E23=COUNT(Output!$B$35:C$35),Inputs!$B56-Calculations!$C23*(Calculations!$E23-1)+Calculations!$D23,0))</f>
        <v>8051.631205673759</v>
      </c>
      <c r="D83" s="46">
        <f>IF(Calculations!$E23&gt;COUNT(Output!$B$35:D$35),Calculations!$B23,IF(Calculations!$E23=COUNT(Output!$B$35:D$35),Inputs!$B56-Calculations!$C23*(Calculations!$E23-1)+Calculations!$D23,0))</f>
        <v>8051.631205673759</v>
      </c>
      <c r="E83" s="46">
        <f>IF(Calculations!$E23&gt;COUNT(Output!$B$35:E$35),Calculations!$B23,IF(Calculations!$E23=COUNT(Output!$B$35:E$35),Inputs!$B56-Calculations!$C23*(Calculations!$E23-1)+Calculations!$D23,0))</f>
        <v>8051.631205673759</v>
      </c>
      <c r="F83" s="46">
        <f>IF(Calculations!$E23&gt;COUNT(Output!$B$35:F$35),Calculations!$B23,IF(Calculations!$E23=COUNT(Output!$B$35:F$35),Inputs!$B56-Calculations!$C23*(Calculations!$E23-1)+Calculations!$D23,0))</f>
        <v>8051.631205673759</v>
      </c>
      <c r="G83" s="46">
        <f>IF(Calculations!$E23&gt;COUNT(Output!$B$35:G$35),Calculations!$B23,IF(Calculations!$E23=COUNT(Output!$B$35:G$35),Inputs!$B56-Calculations!$C23*(Calculations!$E23-1)+Calculations!$D23,0))</f>
        <v>8051.631205673759</v>
      </c>
      <c r="H83" s="46">
        <f>IF(Calculations!$E23&gt;COUNT(Output!$B$35:H$35),Calculations!$B23,IF(Calculations!$E23=COUNT(Output!$B$35:H$35),Inputs!$B56-Calculations!$C23*(Calculations!$E23-1)+Calculations!$D23,0))</f>
        <v>8051.631205673759</v>
      </c>
      <c r="I83" s="46">
        <f>IF(Calculations!$E23&gt;COUNT(Output!$B$35:I$35),Calculations!$B23,IF(Calculations!$E23=COUNT(Output!$B$35:I$35),Inputs!$B56-Calculations!$C23*(Calculations!$E23-1)+Calculations!$D23,0))</f>
        <v>8051.631205673759</v>
      </c>
      <c r="J83" s="46">
        <f>IF(Calculations!$E23&gt;COUNT(Output!$B$35:J$35),Calculations!$B23,IF(Calculations!$E23=COUNT(Output!$B$35:J$35),Inputs!$B56-Calculations!$C23*(Calculations!$E23-1)+Calculations!$D23,0))</f>
        <v>8051.631205673759</v>
      </c>
      <c r="K83" s="46">
        <f>IF(Calculations!$E23&gt;COUNT(Output!$B$35:K$35),Calculations!$B23,IF(Calculations!$E23=COUNT(Output!$B$35:K$35),Inputs!$B56-Calculations!$C23*(Calculations!$E23-1)+Calculations!$D23,0))</f>
        <v>8051.631205673759</v>
      </c>
      <c r="L83" s="46">
        <f>IF(Calculations!$E23&gt;COUNT(Output!$B$35:L$35),Calculations!$B23,IF(Calculations!$E23=COUNT(Output!$B$35:L$35),Inputs!$B56-Calculations!$C23*(Calculations!$E23-1)+Calculations!$D23,0))</f>
        <v>8051.631205673759</v>
      </c>
      <c r="M83" s="46">
        <f>IF(Calculations!$E23&gt;COUNT(Output!$B$35:M$35),Calculations!$B23,IF(Calculations!$E23=COUNT(Output!$B$35:M$35),Inputs!$B56-Calculations!$C23*(Calculations!$E23-1)+Calculations!$D23,0))</f>
        <v>4206.05673758865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92774.00000000001</v>
      </c>
      <c r="AA83" s="46">
        <f>SUM(B83:M83)</f>
        <v>92774.00000000001</v>
      </c>
      <c r="AB83" s="46">
        <f>SUM(B83:Y83)</f>
        <v>92774.00000000001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2756.333333333333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2756.333333333333</v>
      </c>
      <c r="AA84" s="46">
        <f>SUM(B84:M84)</f>
        <v>2756.333333333333</v>
      </c>
      <c r="AB84" s="46">
        <f>SUM(B84:Y84)</f>
        <v>2756.333333333333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99941.29787234044</v>
      </c>
      <c r="C88" s="19">
        <f>SUM(C72:C82,C66,C60,C54,C48,C42,C36)</f>
        <v>91184.96453900711</v>
      </c>
      <c r="D88" s="19">
        <f>SUM(D72:D82,D66,D60,D54,D48,D42,D36)</f>
        <v>111184.9645390071</v>
      </c>
      <c r="E88" s="19">
        <f>SUM(E72:E82,E66,E60,E54,E48,E42,E36)</f>
        <v>91184.96453900711</v>
      </c>
      <c r="F88" s="19">
        <f>SUM(F72:F82,F66,F60,F54,F48,F42,F36)</f>
        <v>91184.96453900711</v>
      </c>
      <c r="G88" s="19">
        <f>SUM(G72:G82,G66,G60,G54,G48,G42,G36)</f>
        <v>91184.96453900711</v>
      </c>
      <c r="H88" s="19">
        <f>SUM(H72:H82,H66,H60,H54,H48,H42,H36)</f>
        <v>91184.96453900711</v>
      </c>
      <c r="I88" s="19">
        <f>SUM(I72:I82,I66,I60,I54,I48,I42,I36)</f>
        <v>91184.96453900711</v>
      </c>
      <c r="J88" s="19">
        <f>SUM(J72:J82,J66,J60,J54,J48,J42,J36)</f>
        <v>91184.96453900711</v>
      </c>
      <c r="K88" s="19">
        <f>SUM(K72:K82,K66,K60,K54,K48,K42,K36)</f>
        <v>91184.96453900711</v>
      </c>
      <c r="L88" s="19">
        <f>SUM(L72:L82,L66,L60,L54,L48,L42,L36)</f>
        <v>91184.96453900711</v>
      </c>
      <c r="M88" s="19">
        <f>SUM(M72:M82,M66,M60,M54,M48,M42,M36)</f>
        <v>87339.39007092199</v>
      </c>
      <c r="N88" s="19">
        <f>SUM(N72:N82,N66,N60,N54,N48,N42,N36)</f>
        <v>89133.33333333334</v>
      </c>
      <c r="O88" s="19">
        <f>SUM(O72:O82,O66,O60,O54,O48,O42,O36)</f>
        <v>83133.33333333334</v>
      </c>
      <c r="P88" s="19">
        <f>SUM(P72:P82,P66,P60,P54,P48,P42,P36)</f>
        <v>103133.3333333333</v>
      </c>
      <c r="Q88" s="19">
        <f>SUM(Q72:Q82,Q66,Q60,Q54,Q48,Q42,Q36)</f>
        <v>83133.33333333334</v>
      </c>
      <c r="R88" s="19">
        <f>SUM(R72:R82,R66,R60,R54,R48,R42,R36)</f>
        <v>83133.33333333334</v>
      </c>
      <c r="S88" s="19">
        <f>SUM(S72:S82,S66,S60,S54,S48,S42,S36)</f>
        <v>83133.33333333334</v>
      </c>
      <c r="T88" s="19">
        <f>SUM(T72:T82,T66,T60,T54,T48,T42,T36)</f>
        <v>83133.33333333334</v>
      </c>
      <c r="U88" s="19">
        <f>SUM(U72:U82,U66,U60,U54,U48,U42,U36)</f>
        <v>83133.33333333334</v>
      </c>
      <c r="V88" s="19">
        <f>SUM(V72:V82,V66,V60,V54,V48,V42,V36)</f>
        <v>83133.33333333334</v>
      </c>
      <c r="W88" s="19">
        <f>SUM(W72:W82,W66,W60,W54,W48,W42,W36)</f>
        <v>83133.33333333334</v>
      </c>
      <c r="X88" s="19">
        <f>SUM(X72:X82,X66,X60,X54,X48,X42,X36)</f>
        <v>83133.33333333334</v>
      </c>
      <c r="Y88" s="19">
        <f>SUM(Y72:Y82,Y66,Y60,Y54,Y48,Y42,Y36)</f>
        <v>83133.33333333334</v>
      </c>
      <c r="Z88" s="19">
        <f>SUMIF($B$13:$Y$13,"Yes",B88:Y88)</f>
        <v>2142730.333333333</v>
      </c>
      <c r="AA88" s="19">
        <f>SUM(B88:M88)</f>
        <v>1119130.333333333</v>
      </c>
      <c r="AB88" s="19">
        <f>SUM(B88:Y88)</f>
        <v>2142730.333333333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2170000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71697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271697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60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150000</v>
      </c>
    </row>
    <row r="31" spans="1:48">
      <c r="A31" s="5" t="s">
        <v>114</v>
      </c>
      <c r="B31" s="158">
        <v>40000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>
        <v>20000</v>
      </c>
    </row>
    <row r="42" spans="1:48">
      <c r="A42" s="55" t="s">
        <v>124</v>
      </c>
      <c r="B42" s="139" t="s">
        <v>125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1500000</v>
      </c>
    </row>
    <row r="46" spans="1:48" customHeight="1" ht="30">
      <c r="A46" s="57" t="s">
        <v>130</v>
      </c>
      <c r="B46" s="161">
        <v>450000</v>
      </c>
    </row>
    <row r="47" spans="1:48" customHeight="1" ht="30">
      <c r="A47" s="57" t="s">
        <v>131</v>
      </c>
      <c r="B47" s="161">
        <v>0</v>
      </c>
    </row>
    <row r="48" spans="1:48" customHeight="1" ht="30">
      <c r="A48" s="57" t="s">
        <v>132</v>
      </c>
      <c r="B48" s="161">
        <v>100000</v>
      </c>
    </row>
    <row r="49" spans="1:48" customHeight="1" ht="30">
      <c r="A49" s="57" t="s">
        <v>133</v>
      </c>
      <c r="B49" s="161">
        <v>120000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100000</v>
      </c>
      <c r="B56" s="159">
        <v>70774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100000</v>
      </c>
      <c r="B57" s="157">
        <v>923</v>
      </c>
      <c r="C57" s="164" t="s">
        <v>145</v>
      </c>
      <c r="D57" s="165" t="s">
        <v>146</v>
      </c>
      <c r="E57" s="165" t="s">
        <v>92</v>
      </c>
      <c r="F57" s="165" t="s">
        <v>144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148</v>
      </c>
      <c r="C65" s="10" t="s">
        <v>149</v>
      </c>
    </row>
    <row r="66" spans="1:48">
      <c r="A66" s="142" t="s">
        <v>150</v>
      </c>
      <c r="B66" s="159">
        <v>413162</v>
      </c>
      <c r="C66" s="163">
        <v>413175</v>
      </c>
      <c r="D66" s="49">
        <f>INDEX(Parameters!$D$79:$D$90,MATCH(Inputs!A66,Parameters!$C$79:$C$90,0))</f>
        <v>10</v>
      </c>
    </row>
    <row r="67" spans="1:48">
      <c r="A67" s="143" t="s">
        <v>151</v>
      </c>
      <c r="B67" s="157">
        <v>119201</v>
      </c>
      <c r="C67" s="165">
        <v>119907</v>
      </c>
      <c r="D67" s="49">
        <f>INDEX(Parameters!$D$79:$D$90,MATCH(Inputs!A67,Parameters!$C$79:$C$90,0))</f>
        <v>9</v>
      </c>
    </row>
    <row r="68" spans="1:48">
      <c r="A68" s="143" t="s">
        <v>152</v>
      </c>
      <c r="B68" s="157">
        <v>126703</v>
      </c>
      <c r="C68" s="165">
        <v>125891</v>
      </c>
      <c r="D68" s="49">
        <f>INDEX(Parameters!$D$79:$D$90,MATCH(Inputs!A68,Parameters!$C$79:$C$90,0))</f>
        <v>8</v>
      </c>
    </row>
    <row r="69" spans="1:48">
      <c r="A69" s="143" t="s">
        <v>153</v>
      </c>
      <c r="B69" s="157">
        <v>202015</v>
      </c>
      <c r="C69" s="165">
        <v>206090</v>
      </c>
      <c r="D69" s="49">
        <f>INDEX(Parameters!$D$79:$D$90,MATCH(Inputs!A69,Parameters!$C$79:$C$90,0))</f>
        <v>7</v>
      </c>
    </row>
    <row r="70" spans="1:48">
      <c r="A70" s="143" t="s">
        <v>154</v>
      </c>
      <c r="B70" s="157">
        <v>292688</v>
      </c>
      <c r="C70" s="165">
        <v>289438</v>
      </c>
      <c r="D70" s="49">
        <f>INDEX(Parameters!$D$79:$D$90,MATCH(Inputs!A70,Parameters!$C$79:$C$90,0))</f>
        <v>6</v>
      </c>
    </row>
    <row r="71" spans="1:48">
      <c r="A71" s="144" t="s">
        <v>155</v>
      </c>
      <c r="B71" s="158">
        <v>185449</v>
      </c>
      <c r="C71" s="167">
        <v>182236</v>
      </c>
      <c r="D71" s="49">
        <f>INDEX(Parameters!$D$79:$D$90,MATCH(Inputs!A71,Parameters!$C$79:$C$90,0))</f>
        <v>5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18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200000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24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43040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43040</v>
      </c>
      <c r="C5" s="39">
        <f>IFERROR(DATE(YEAR(B5),MONTH(B5)+ROUND(T5/2,0),DAY(B5)),B5)</f>
        <v>43040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100000</v>
      </c>
      <c r="B23" s="75">
        <f>SUM(C23:D23)</f>
        <v>8051.631205673759</v>
      </c>
      <c r="C23" s="75">
        <f>IF(Inputs!B56&gt;0,(Inputs!A56-Inputs!B56)/(DATE(YEAR(Inputs!$B$76),MONTH(Inputs!$B$76),DAY(Inputs!$B$76))-DATE(YEAR(Inputs!C56),MONTH(Inputs!C56),DAY(Inputs!C56)))*30,0)</f>
        <v>6218.297872340426</v>
      </c>
      <c r="D23" s="75">
        <f>IF(Inputs!B56&gt;0,Inputs!A56*0.22/12,0)</f>
        <v>1833.333333333333</v>
      </c>
      <c r="E23" s="75">
        <f>IFERROR(ROUNDUP(Inputs!B56/C23,0),0)</f>
        <v>12</v>
      </c>
    </row>
    <row r="24" spans="1:52">
      <c r="A24" s="46">
        <f>Inputs!A57</f>
        <v>100000</v>
      </c>
      <c r="B24" s="46">
        <f>SUM(C24:D24)</f>
        <v>13178.02798982188</v>
      </c>
      <c r="C24" s="46">
        <f>IF(Inputs!B57&gt;0,(Inputs!A57-Inputs!B57)/(DATE(YEAR(Inputs!$B$76),MONTH(Inputs!$B$76),DAY(Inputs!$B$76))-DATE(YEAR(Inputs!C57),MONTH(Inputs!C57),DAY(Inputs!C57)))*30,0)</f>
        <v>11344.69465648855</v>
      </c>
      <c r="D24" s="46">
        <f>IF(Inputs!B57&gt;0,Inputs!A57*0.22/12,0)</f>
        <v>1833.333333333333</v>
      </c>
      <c r="E24" s="46">
        <f>IFERROR(ROUNDUP(Inputs!B57/B24,0),0)</f>
        <v>1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43078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43070</v>
      </c>
      <c r="F33" t="s">
        <v>161</v>
      </c>
      <c r="G33" s="128">
        <f>IF(Inputs!B79="","",DATE(YEAR(Inputs!B79),MONTH(Inputs!B79),DAY(Inputs!B79)))</f>
        <v>43048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43109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43101</v>
      </c>
      <c r="F34" t="s">
        <v>162</v>
      </c>
      <c r="G34" s="128">
        <f>IF(Inputs!B80="","",DATE(YEAR(Inputs!B80),MONTH(Inputs!B80),DAY(Inputs!B80)))</f>
        <v>43078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43140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43132</v>
      </c>
      <c r="F35" t="s">
        <v>164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43168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43160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43199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43191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43229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43221</v>
      </c>
      <c r="F38" t="s">
        <v>227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43260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43252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43290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43282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43321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43313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43352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43344</v>
      </c>
      <c r="F42" t="s">
        <v>229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43382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43413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43443</v>
      </c>
      <c r="C45" s="27">
        <f>IF(B45&lt;&gt;"",IF(COUNT($A$33:A45)&lt;=$G$39,0,$G$41)+IF(COUNT($A$33:A45)&lt;=$G$40,0,$G$42),0)</f>
        <v>11666.66666666667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43474</v>
      </c>
      <c r="C46" s="27">
        <f>IF(B46&lt;&gt;"",IF(COUNT($A$33:A46)&lt;=$G$39,0,$G$41)+IF(COUNT($A$33:A46)&lt;=$G$40,0,$G$42),0)</f>
        <v>11666.66666666667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43505</v>
      </c>
      <c r="C47" s="27">
        <f>IF(B47&lt;&gt;"",IF(COUNT($A$33:A47)&lt;=$G$39,0,$G$41)+IF(COUNT($A$33:A47)&lt;=$G$40,0,$G$42),0)</f>
        <v>11666.66666666667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43533</v>
      </c>
      <c r="C48" s="27">
        <f>IF(B48&lt;&gt;"",IF(COUNT($A$33:A48)&lt;=$G$39,0,$G$41)+IF(COUNT($A$33:A48)&lt;=$G$40,0,$G$42),0)</f>
        <v>11666.66666666667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43564</v>
      </c>
      <c r="C49" s="27">
        <f>IF(B49&lt;&gt;"",IF(COUNT($A$33:A49)&lt;=$G$39,0,$G$41)+IF(COUNT($A$33:A49)&lt;=$G$40,0,$G$42),0)</f>
        <v>11666.66666666667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43594</v>
      </c>
      <c r="C50" s="27">
        <f>IF(B50&lt;&gt;"",IF(COUNT($A$33:A50)&lt;=$G$39,0,$G$41)+IF(COUNT($A$33:A50)&lt;=$G$40,0,$G$42),0)</f>
        <v>11666.66666666667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43625</v>
      </c>
      <c r="C51" s="27">
        <f>IF(B51&lt;&gt;"",IF(COUNT($A$33:A51)&lt;=$G$39,0,$G$41)+IF(COUNT($A$33:A51)&lt;=$G$40,0,$G$42),0)</f>
        <v>11666.66666666667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43655</v>
      </c>
      <c r="C52" s="27">
        <f>IF(B52&lt;&gt;"",IF(COUNT($A$33:A52)&lt;=$G$39,0,$G$41)+IF(COUNT($A$33:A52)&lt;=$G$40,0,$G$42),0)</f>
        <v>11666.66666666667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43686</v>
      </c>
      <c r="C53" s="27">
        <f>IF(B53&lt;&gt;"",IF(COUNT($A$33:A53)&lt;=$G$39,0,$G$41)+IF(COUNT($A$33:A53)&lt;=$G$40,0,$G$42),0)</f>
        <v>11666.66666666667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43717</v>
      </c>
      <c r="C54" s="27">
        <f>IF(B54&lt;&gt;"",IF(COUNT($A$33:A54)&lt;=$G$39,0,$G$41)+IF(COUNT($A$33:A54)&lt;=$G$40,0,$G$42),0)</f>
        <v>11666.66666666667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43747</v>
      </c>
      <c r="C55" s="27">
        <f>IF(B55&lt;&gt;"",IF(COUNT($A$33:A55)&lt;=$G$39,0,$G$41)+IF(COUNT($A$33:A55)&lt;=$G$40,0,$G$42),0)</f>
        <v>11666.66666666667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43778</v>
      </c>
      <c r="C56" s="27">
        <f>IF(B56&lt;&gt;"",IF(COUNT($A$33:A56)&lt;=$G$39,0,$G$41)+IF(COUNT($A$33:A56)&lt;=$G$40,0,$G$42),0)</f>
        <v>11666.66666666667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122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316</v>
      </c>
      <c r="H52" s="12" t="s">
        <v>127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230</v>
      </c>
      <c r="E53" s="10" t="s">
        <v>189</v>
      </c>
      <c r="F53" s="10" t="s">
        <v>249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122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122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122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122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122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122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122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167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226</v>
      </c>
      <c r="J76" s="11" t="s">
        <v>350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122</v>
      </c>
      <c r="F77" s="12" t="s">
        <v>122</v>
      </c>
      <c r="G77" s="12" t="s">
        <v>352</v>
      </c>
      <c r="H77" s="12" t="s">
        <v>127</v>
      </c>
      <c r="I77" s="12" t="s">
        <v>353</v>
      </c>
      <c r="J77" s="136" t="s">
        <v>354</v>
      </c>
      <c r="K77" s="12" t="s">
        <v>122</v>
      </c>
      <c r="AJ77" s="12"/>
    </row>
    <row r="78" spans="1:36">
      <c r="A78" t="s">
        <v>122</v>
      </c>
      <c r="B78" s="176">
        <v>5</v>
      </c>
      <c r="C78" s="134" t="s">
        <v>355</v>
      </c>
      <c r="D78" s="133"/>
      <c r="E78" s="12" t="s">
        <v>356</v>
      </c>
      <c r="F78" s="12" t="s">
        <v>93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122</v>
      </c>
      <c r="AJ78" s="12"/>
    </row>
    <row r="79" spans="1:36">
      <c r="B79" s="176">
        <v>10</v>
      </c>
      <c r="C79" s="12" t="s">
        <v>125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167</v>
      </c>
      <c r="J79" s="70" t="s">
        <v>363</v>
      </c>
      <c r="K79" s="12" t="s">
        <v>122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