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<sst xmlns="http://schemas.openxmlformats.org/spreadsheetml/2006/main" uniqueCount="365">
  <si>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</si>
  <si>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</si>
  <si>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</si>
  <si>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</si>
  <si>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</si>
  <si>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</si>
  <si>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</si>
  <si>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</si>
  <si>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</si>
  <si>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</si>
  <si>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</si>
  <si>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</si>
  <si>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</si>
  <si>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</si>
  <si>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</si>
  <si>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</si>
  <si>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</si>
  <si>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</si>
  <si>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</si>
  <si>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</si>
  <si>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</si>
  <si>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</si>
  <si>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</si>
  <si>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</si>
  <si>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</si>
  <si>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</si>
  <si>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</si>
  <si>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</si>
  <si>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</si>
  <si>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</si>
  <si>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</si>
  <si>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</si>
  <si>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</si>
  <si>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</si>
  <si>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</si>
  <si>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</si>
  <si>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</si>
  <si>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</si>
  <si>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</si>
  <si>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</si>
  <si>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</si>
  <si>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</si>
  <si>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</si>
  <si>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</si>
  <si>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</si>
  <si>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</si>
  <si>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</si>
  <si>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</si>
  <si>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</si>
  <si>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</si>
  <si>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</si>
  <si>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</si>
  <si>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</si>
  <si>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</si>
  <si>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</si>
  <si>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</si>
  <si>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</si>
  <si>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</si>
  <si>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</si>
  <si>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</si>
  <si>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</si>
  <si>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</si>
  <si>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</si>
  <si>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</si>
  <si>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</si>
  <si>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</si>
  <si>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</si>
  <si>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</si>
  <si>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</si>
  <si>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</si>
  <si>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</si>
  <si>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</si>
  <si>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</si>
  <si>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</si>
  <si>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</si>
  <si>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</si>
  <si>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</si>
  <si>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</si>
  <si>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</si>
  <si>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</si>
  <si>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</si>
  <si>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</si>
  <si>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</si>
  <si>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</si>
  <si>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</si>
  <si>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</si>
  <si>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</si>
  <si>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</si>
  <si>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</si>
  <si>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</si>
  <si>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</si>
  <si>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</si>
  <si>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</si>
  <si>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</si>
  <si>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</si>
  <si>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</si>
  <si>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</si>
  <si>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</si>
  <si>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</si>
  <si>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</si>
  <si>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</si>
  <si>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</si>
  <si>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Chicken_broilers</t>
  </si>
  <si>
    <t>Yes</t>
  </si>
  <si>
    <t>Sometimes</t>
  </si>
  <si>
    <t>Always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</si>
  <si>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</si>
  <si>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</si>
  <si>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</si>
  <si>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</si>
  <si>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Hotell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</si>
  <si>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</si>
  <si>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</si>
  <si>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</si>
  <si>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</si>
  <si>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</si>
  <si>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</si>
  <si>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</si>
  <si>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</si>
  <si>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</si>
  <si>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</si>
  <si>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</si>
  <si>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</si>
  <si>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Peri_urban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</si>
  <si>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</si>
  <si>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</si>
  <si>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</si>
  <si>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</si>
  <si>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</si>
  <si>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</si>
  <si>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</si>
  <si>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</si>
  <si>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</si>
  <si>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</si>
  <si>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</si>
  <si>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</si>
  <si>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</si>
  <si>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</si>
  <si>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Mpesa &amp; bank cash flows (from past statements)</t>
  </si>
  <si>
    <t>Cash inflows</t>
  </si>
  <si>
    <t>Cash outflows</t>
  </si>
  <si>
    <t>October</t>
  </si>
  <si>
    <t>September</t>
  </si>
  <si>
    <t>August</t>
  </si>
  <si>
    <t>July</t>
  </si>
  <si>
    <t>June</t>
  </si>
  <si>
    <t>May</t>
  </si>
  <si>
    <t>Loan info</t>
  </si>
  <si>
    <t>Branch ID</t>
  </si>
  <si>
    <t>Submission date</t>
  </si>
  <si>
    <t>2017/11/9</t>
  </si>
  <si>
    <t>Loan terms</t>
  </si>
  <si>
    <t>Expected disbursement date</t>
  </si>
  <si>
    <t>Expected first repayment date</t>
  </si>
  <si>
    <t>2017/12/9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</si>
  <si>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</si>
  <si>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</si>
  <si>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</si>
  <si>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</si>
  <si>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</si>
  <si>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</si>
  <si>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</si>
  <si>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</si>
  <si>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</si>
  <si>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</si>
  <si>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</si>
  <si>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</si>
  <si>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</si>
  <si>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</si>
  <si>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</si>
  <si>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</si>
  <si>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</si>
  <si>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</si>
  <si>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</si>
  <si>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</si>
  <si>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</si>
  <si>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</si>
  <si>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</si>
  <si>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</si>
  <si>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</si>
  <si>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</si>
  <si>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</si>
  <si>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</si>
  <si>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</si>
  <si>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</si>
  <si>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</si>
  <si>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</si>
  <si>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</si>
  <si>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</si>
  <si>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</si>
  <si>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</si>
  <si>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</si>
  <si>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</si>
  <si>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</si>
  <si>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</si>
  <si>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</si>
  <si>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</si>
  <si>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</si>
  <si>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</si>
  <si>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</si>
  <si>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</si>
  <si>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</si>
  <si>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</si>
  <si>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</si>
  <si>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</si>
  <si>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</si>
  <si>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</si>
  <si>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</si>
  <si>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</si>
  <si>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</si>
  <si>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</si>
  <si>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</si>
  <si>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</si>
  <si>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</si>
  <si>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</si>
  <si>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</si>
  <si>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</si>
  <si>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</si>
  <si>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</si>
  <si>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</si>
  <si>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</si>
  <si>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</si>
  <si>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</si>
  <si>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</si>
  <si>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</si>
  <si>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</si>
  <si>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</si>
  <si>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</si>
  <si>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</si>
  <si>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</si>
  <si>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</si>
  <si>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</si>
  <si>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</si>
  <si>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</si>
  <si>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</si>
  <si>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</si>
  <si>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</si>
  <si>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</si>
  <si>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</si>
  <si>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</si>
  <si>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</si>
  <si>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</si>
  <si>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</si>
  <si>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</si>
  <si>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</si>
  <si>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</si>
  <si>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</si>
  <si>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</si>
  <si>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</si>
  <si>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</si>
  <si>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</si>
  <si>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</si>
  <si>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</si>
  <si>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</si>
  <si>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</si>
  <si>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</si>
  <si>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</si>
  <si>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</si>
  <si>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</si>
  <si>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</si>
  <si>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</si>
  <si>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</si>
  <si>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</si>
  <si>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</si>
  <si>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</si>
  <si>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</si>
  <si>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</si>
  <si>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</si>
  <si>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</si>
  <si>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</si>
  <si>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</si>
  <si>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</si>
  <si>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</si>
  <si>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</si>
  <si>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</si>
  <si>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</si>
  <si>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</si>
  <si>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</si>
  <si>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</si>
  <si>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</si>
  <si>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</si>
  <si>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</si>
  <si>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</si>
  <si>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</si>
  <si>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</si>
  <si>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</si>
  <si>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</si>
  <si>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</si>
  <si>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</si>
  <si>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meat</t>
  </si>
  <si>
    <t>Cows_dairy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</si>
  <si>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</si>
  <si>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</si>
  <si>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</si>
  <si>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</si>
  <si>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</si>
  <si>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</si>
  <si>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</si>
  <si>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</si>
  <si>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</si>
  <si>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</si>
  <si>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</si>
  <si>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</si>
  <si>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</si>
  <si>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</si>
  <si>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</si>
  <si>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No</t>
  </si>
  <si>
    <t>Branch differences</t>
  </si>
  <si>
    <t>Irrigation crops</t>
  </si>
  <si>
    <t>Rural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</si>
  <si>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</si>
  <si>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</si>
  <si>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</si>
  <si>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</si>
  <si>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</si>
  <si>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</si>
  <si>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</si>
  <si>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</si>
  <si>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</si>
  <si>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</si>
  <si>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</si>
  <si>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</si>
  <si>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</si>
  <si>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</si>
  <si>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</si>
  <si>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</si>
  <si>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</si>
  <si>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</si>
  <si>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</si>
  <si>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</si>
  <si>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</si>
  <si>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</si>
  <si>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</si>
  <si>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</si>
  <si>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</si>
  <si>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</si>
  <si>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</si>
  <si>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</si>
  <si>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</si>
  <si>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</si>
  <si>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</si>
  <si>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</si>
  <si>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</si>
  <si>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</si>
  <si>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</si>
  <si>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</si>
  <si>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</si>
  <si>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</si>
  <si>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</si>
  <si>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Yes using a diesel pump</t>
  </si>
  <si>
    <t>Weeks</t>
  </si>
  <si>
    <t>Other farmers</t>
  </si>
  <si>
    <t>January</t>
  </si>
  <si>
    <t>Yes inorganic fertilizers</t>
  </si>
  <si>
    <t>Yes using a solar pump</t>
  </si>
  <si>
    <t>Shop_common variety</t>
  </si>
  <si>
    <t>February</t>
  </si>
  <si>
    <t>Yes both manure and inorganic</t>
  </si>
  <si>
    <t>Yes without the use of a pump</t>
  </si>
  <si>
    <t>Shop_certified variety</t>
  </si>
  <si>
    <t>March</t>
  </si>
  <si>
    <t>NGO</t>
  </si>
  <si>
    <t>April</t>
  </si>
  <si>
    <t>November</t>
  </si>
  <si>
    <t>December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</si>
</sst>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0, 0, 0, 0, 0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Chicken_broilers, Chicken_broilers, Chicken_broilers, Chicken: sale of ex layers</v>
      </c>
    </row>
    <row r="8" spans="1:7">
      <c r="B8" s="1" t="s">
        <v>4</v>
      </c>
      <c r="C8" t="str">
        <f>IF(Inputs!B29="","None",Inputs!B29)</f>
        <v>Hotell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0.1636370436864153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November 2017</v>
      </c>
    </row>
    <row r="13" spans="1:7">
      <c r="B13" s="1" t="s">
        <v>8</v>
      </c>
      <c r="C13" s="67">
        <f>IFERROR(Output!B107/Output!B101,"")</f>
        <v>0.06711409395973154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14583.33333333333</v>
      </c>
    </row>
    <row r="17" spans="1:7">
      <c r="B17" s="1" t="s">
        <v>11</v>
      </c>
      <c r="C17" s="36">
        <f>SUM(Output!B6:M6)</f>
        <v>899880</v>
      </c>
    </row>
    <row r="18" spans="1:7">
      <c r="B18" s="1" t="s">
        <v>12</v>
      </c>
      <c r="C18" s="36">
        <f>MIN(Output!B6:M6)</f>
        <v>74990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November 2017</v>
      </c>
    </row>
    <row r="20" spans="1:7">
      <c r="B20" s="1" t="s">
        <v>14</v>
      </c>
      <c r="C20" s="36">
        <f>MAX(Output!B6:M6)</f>
        <v>74990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November 2017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 t="str">
        <f>IFERROR(AVERAGE(Inputs!A56:A60),"")</f>
        <v/>
      </c>
    </row>
    <row r="25" spans="1:7">
      <c r="B25" s="1" t="s">
        <v>18</v>
      </c>
      <c r="C25" s="36">
        <f>MAX(Inputs!A56:A60)</f>
        <v>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1</v>
      </c>
      <c r="C2" s="49">
        <f>IF(C6=MIN($B$6:$M$6),1,0)</f>
        <v>1</v>
      </c>
      <c r="D2" s="49">
        <f>IF(D6=MIN($B$6:$M$6),1,0)</f>
        <v>1</v>
      </c>
      <c r="E2" s="49">
        <f>IF(E6=MIN($B$6:$M$6),1,0)</f>
        <v>1</v>
      </c>
      <c r="F2" s="49">
        <f>IF(F6=MIN($B$6:$M$6),1,0)</f>
        <v>1</v>
      </c>
      <c r="G2" s="49">
        <f>IF(G6=MIN($B$6:$M$6),1,0)</f>
        <v>1</v>
      </c>
      <c r="H2" s="49">
        <f>IF(H6=MIN($B$6:$M$6),1,0)</f>
        <v>1</v>
      </c>
      <c r="I2" s="49">
        <f>IF(I6=MIN($B$6:$M$6),1,0)</f>
        <v>1</v>
      </c>
      <c r="J2" s="49">
        <f>IF(J6=MIN($B$6:$M$6),1,0)</f>
        <v>1</v>
      </c>
      <c r="K2" s="49">
        <f>IF(K6=MIN($B$6:$M$6),1,0)</f>
        <v>1</v>
      </c>
      <c r="L2" s="49">
        <f>IF(L6=MIN($B$6:$M$6),1,0)</f>
        <v>1</v>
      </c>
      <c r="M2" s="49">
        <f>IF(M6=MIN($B$6:$M$6),1,0)</f>
        <v>1</v>
      </c>
    </row>
    <row r="3" spans="1:30" s="49" customFormat="1">
      <c r="A3" s="49" t="s">
        <v>22</v>
      </c>
      <c r="B3" s="49">
        <f>IF(B6=MAX($B$6:$M$6),1,0)</f>
        <v>1</v>
      </c>
      <c r="C3" s="49">
        <f>IF(C6=MAX($B$6:$M$6),1,0)</f>
        <v>1</v>
      </c>
      <c r="D3" s="49">
        <f>IF(D6=MAX($B$6:$M$6),1,0)</f>
        <v>1</v>
      </c>
      <c r="E3" s="49">
        <f>IF(E6=MAX($B$6:$M$6),1,0)</f>
        <v>1</v>
      </c>
      <c r="F3" s="49">
        <f>IF(F6=MAX($B$6:$M$6),1,0)</f>
        <v>1</v>
      </c>
      <c r="G3" s="49">
        <f>IF(G6=MAX($B$6:$M$6),1,0)</f>
        <v>1</v>
      </c>
      <c r="H3" s="49">
        <f>IF(H6=MAX($B$6:$M$6),1,0)</f>
        <v>1</v>
      </c>
      <c r="I3" s="49">
        <f>IF(I6=MAX($B$6:$M$6),1,0)</f>
        <v>1</v>
      </c>
      <c r="J3" s="49">
        <f>IF(J6=MAX($B$6:$M$6),1,0)</f>
        <v>1</v>
      </c>
      <c r="K3" s="49">
        <f>IF(K6=MAX($B$6:$M$6),1,0)</f>
        <v>1</v>
      </c>
      <c r="L3" s="49">
        <f>IF(L6=MAX($B$6:$M$6),1,0)</f>
        <v>1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43040</v>
      </c>
      <c r="C5" s="17">
        <f>DATE(YEAR(B5),MONTH(B5)+1,DAY(B5))</f>
        <v>43070</v>
      </c>
      <c r="D5" s="17">
        <f>DATE(YEAR(C5),MONTH(C5)+1,DAY(C5))</f>
        <v>43101</v>
      </c>
      <c r="E5" s="17">
        <f>DATE(YEAR(D5),MONTH(D5)+1,DAY(D5))</f>
        <v>43132</v>
      </c>
      <c r="F5" s="17">
        <f>DATE(YEAR(E5),MONTH(E5)+1,DAY(E5))</f>
        <v>43160</v>
      </c>
      <c r="G5" s="17">
        <f>DATE(YEAR(F5),MONTH(F5)+1,DAY(F5))</f>
        <v>43191</v>
      </c>
      <c r="H5" s="17">
        <f>DATE(YEAR(G5),MONTH(G5)+1,DAY(G5))</f>
        <v>43221</v>
      </c>
      <c r="I5" s="17">
        <f>DATE(YEAR(H5),MONTH(H5)+1,DAY(H5))</f>
        <v>43252</v>
      </c>
      <c r="J5" s="17">
        <f>DATE(YEAR(I5),MONTH(I5)+1,DAY(I5))</f>
        <v>43282</v>
      </c>
      <c r="K5" s="17">
        <f>DATE(YEAR(J5),MONTH(J5)+1,DAY(J5))</f>
        <v>43313</v>
      </c>
      <c r="L5" s="17">
        <f>DATE(YEAR(K5),MONTH(K5)+1,DAY(K5))</f>
        <v>43344</v>
      </c>
      <c r="M5" s="17">
        <f>DATE(YEAR(L5),MONTH(L5)+1,DAY(L5))</f>
        <v>43374</v>
      </c>
      <c r="N5" s="17">
        <f>DATE(YEAR(M5),MONTH(M5)+1,DAY(M5))</f>
        <v>43405</v>
      </c>
      <c r="O5" s="17">
        <f>DATE(YEAR(N5),MONTH(N5)+1,DAY(N5))</f>
        <v>43435</v>
      </c>
      <c r="P5" s="17">
        <f>DATE(YEAR(O5),MONTH(O5)+1,DAY(O5))</f>
        <v>43466</v>
      </c>
      <c r="Q5" s="17">
        <f>DATE(YEAR(P5),MONTH(P5)+1,DAY(P5))</f>
        <v>43497</v>
      </c>
      <c r="R5" s="17">
        <f>DATE(YEAR(Q5),MONTH(Q5)+1,DAY(Q5))</f>
        <v>43525</v>
      </c>
      <c r="S5" s="17">
        <f>DATE(YEAR(R5),MONTH(R5)+1,DAY(R5))</f>
        <v>43556</v>
      </c>
      <c r="T5" s="17">
        <f>DATE(YEAR(S5),MONTH(S5)+1,DAY(S5))</f>
        <v>43586</v>
      </c>
      <c r="U5" s="17">
        <f>DATE(YEAR(T5),MONTH(T5)+1,DAY(T5))</f>
        <v>43617</v>
      </c>
      <c r="V5" s="17">
        <f>DATE(YEAR(U5),MONTH(U5)+1,DAY(U5))</f>
        <v>43647</v>
      </c>
      <c r="W5" s="17">
        <f>DATE(YEAR(V5),MONTH(V5)+1,DAY(V5))</f>
        <v>43678</v>
      </c>
      <c r="X5" s="17">
        <f>DATE(YEAR(W5),MONTH(W5)+1,DAY(W5))</f>
        <v>43709</v>
      </c>
      <c r="Y5" s="17">
        <f>DATE(YEAR(X5),MONTH(X5)+1,DAY(X5))</f>
        <v>43739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43770</v>
      </c>
    </row>
    <row r="6" spans="1:30" customHeight="1" ht="15.75">
      <c r="A6" s="50" t="s">
        <v>27</v>
      </c>
      <c r="B6" s="51">
        <f>B30-B88</f>
        <v>74990</v>
      </c>
      <c r="C6" s="51">
        <f>C30-C88</f>
        <v>74990</v>
      </c>
      <c r="D6" s="51">
        <f>D30-D88</f>
        <v>74990</v>
      </c>
      <c r="E6" s="51">
        <f>E30-E88</f>
        <v>74990</v>
      </c>
      <c r="F6" s="51">
        <f>F30-F88</f>
        <v>74990</v>
      </c>
      <c r="G6" s="51">
        <f>G30-G88</f>
        <v>74990</v>
      </c>
      <c r="H6" s="51">
        <f>H30-H88</f>
        <v>74990</v>
      </c>
      <c r="I6" s="51">
        <f>I30-I88</f>
        <v>74990</v>
      </c>
      <c r="J6" s="51">
        <f>J30-J88</f>
        <v>74990</v>
      </c>
      <c r="K6" s="51">
        <f>K30-K88</f>
        <v>74990</v>
      </c>
      <c r="L6" s="51">
        <f>L30-L88</f>
        <v>74990</v>
      </c>
      <c r="M6" s="51">
        <f>M30-M88</f>
        <v>74990</v>
      </c>
      <c r="N6" s="51">
        <f>N30-N88</f>
        <v>74990</v>
      </c>
      <c r="O6" s="51">
        <f>O30-O88</f>
        <v>74990</v>
      </c>
      <c r="P6" s="51">
        <f>P30-P88</f>
        <v>74990</v>
      </c>
      <c r="Q6" s="51">
        <f>Q30-Q88</f>
        <v>74990</v>
      </c>
      <c r="R6" s="51">
        <f>R30-R88</f>
        <v>74990</v>
      </c>
      <c r="S6" s="51">
        <f>S30-S88</f>
        <v>74990</v>
      </c>
      <c r="T6" s="51">
        <f>T30-T88</f>
        <v>74990</v>
      </c>
      <c r="U6" s="51">
        <f>U30-U88</f>
        <v>74990</v>
      </c>
      <c r="V6" s="51">
        <f>V30-V88</f>
        <v>74990</v>
      </c>
      <c r="W6" s="51">
        <f>W30-W88</f>
        <v>74990</v>
      </c>
      <c r="X6" s="51">
        <f>X30-X88</f>
        <v>74990</v>
      </c>
      <c r="Y6" s="51">
        <f>Y30-Y88</f>
        <v>74990</v>
      </c>
      <c r="Z6" s="51">
        <f>SUMIF($B$13:$Y$13,"Yes",B6:Y6)</f>
        <v>1799760</v>
      </c>
      <c r="AA6" s="51">
        <f>AA30-AA88</f>
        <v>899880</v>
      </c>
      <c r="AB6" s="51">
        <f>AB30-AB88</f>
        <v>1799760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65506</v>
      </c>
      <c r="I7" s="80">
        <f>IF(ISERROR(VLOOKUP(MONTH(I5),Inputs!$D$66:$D$71,1,0)),"",INDEX(Inputs!$B$66:$B$71,MATCH(MONTH(Output!I5),Inputs!$D$66:$D$71,0))-INDEX(Inputs!$C$66:$C$71,MATCH(MONTH(Output!I5),Inputs!$D$66:$D$71,0)))</f>
        <v>8927</v>
      </c>
      <c r="J7" s="80">
        <f>IF(ISERROR(VLOOKUP(MONTH(J5),Inputs!$D$66:$D$71,1,0)),"",INDEX(Inputs!$B$66:$B$71,MATCH(MONTH(Output!J5),Inputs!$D$66:$D$71,0))-INDEX(Inputs!$C$66:$C$71,MATCH(MONTH(Output!J5),Inputs!$D$66:$D$71,0)))</f>
        <v>135126</v>
      </c>
      <c r="K7" s="80">
        <f>IF(ISERROR(VLOOKUP(MONTH(K5),Inputs!$D$66:$D$71,1,0)),"",INDEX(Inputs!$B$66:$B$71,MATCH(MONTH(Output!K5),Inputs!$D$66:$D$71,0))-INDEX(Inputs!$C$66:$C$71,MATCH(MONTH(Output!K5),Inputs!$D$66:$D$71,0)))</f>
        <v>-25414</v>
      </c>
      <c r="L7" s="80">
        <f>IF(ISERROR(VLOOKUP(MONTH(L5),Inputs!$D$66:$D$71,1,0)),"",INDEX(Inputs!$B$66:$B$71,MATCH(MONTH(Output!L5),Inputs!$D$66:$D$71,0))-INDEX(Inputs!$C$66:$C$71,MATCH(MONTH(Output!L5),Inputs!$D$66:$D$71,0)))</f>
        <v>140206</v>
      </c>
      <c r="M7" s="80">
        <f>IF(ISERROR(VLOOKUP(MONTH(M5),Inputs!$D$66:$D$71,1,0)),"",INDEX(Inputs!$B$66:$B$71,MATCH(MONTH(Output!M5),Inputs!$D$66:$D$71,0))-INDEX(Inputs!$C$66:$C$71,MATCH(MONTH(Output!M5),Inputs!$D$66:$D$71,0)))</f>
        <v>74416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65506</v>
      </c>
      <c r="U7" s="80">
        <f>IF(ISERROR(VLOOKUP(MONTH(U5),Inputs!$D$66:$D$71,1,0)),"",INDEX(Inputs!$B$66:$B$71,MATCH(MONTH(Output!U5),Inputs!$D$66:$D$71,0))-INDEX(Inputs!$C$66:$C$71,MATCH(MONTH(Output!U5),Inputs!$D$66:$D$71,0)))</f>
        <v>8927</v>
      </c>
      <c r="V7" s="80">
        <f>IF(ISERROR(VLOOKUP(MONTH(V5),Inputs!$D$66:$D$71,1,0)),"",INDEX(Inputs!$B$66:$B$71,MATCH(MONTH(Output!V5),Inputs!$D$66:$D$71,0))-INDEX(Inputs!$C$66:$C$71,MATCH(MONTH(Output!V5),Inputs!$D$66:$D$71,0)))</f>
        <v>135126</v>
      </c>
      <c r="W7" s="80">
        <f>IF(ISERROR(VLOOKUP(MONTH(W5),Inputs!$D$66:$D$71,1,0)),"",INDEX(Inputs!$B$66:$B$71,MATCH(MONTH(Output!W5),Inputs!$D$66:$D$71,0))-INDEX(Inputs!$C$66:$C$71,MATCH(MONTH(Output!W5),Inputs!$D$66:$D$71,0)))</f>
        <v>-25414</v>
      </c>
      <c r="X7" s="80">
        <f>IF(ISERROR(VLOOKUP(MONTH(X5),Inputs!$D$66:$D$71,1,0)),"",INDEX(Inputs!$B$66:$B$71,MATCH(MONTH(Output!X5),Inputs!$D$66:$D$71,0))-INDEX(Inputs!$C$66:$C$71,MATCH(MONTH(Output!X5),Inputs!$D$66:$D$71,0)))</f>
        <v>140206</v>
      </c>
      <c r="Y7" s="80">
        <f>IF(ISERROR(VLOOKUP(MONTH(Y5),Inputs!$D$66:$D$71,1,0)),"",INDEX(Inputs!$B$66:$B$71,MATCH(MONTH(Output!Y5),Inputs!$D$66:$D$71,0))-INDEX(Inputs!$C$66:$C$71,MATCH(MONTH(Output!Y5),Inputs!$D$66:$D$71,0)))</f>
        <v>74416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250000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250000</v>
      </c>
      <c r="AA9" s="75">
        <f>SUM(B9:M9)</f>
        <v>250000</v>
      </c>
      <c r="AB9" s="75">
        <f>SUM(B9:Y9)</f>
        <v>250000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14583.33333333333</v>
      </c>
      <c r="D10" s="37">
        <f>SUMPRODUCT((Calculations!$D$33:$D$84=Output!D5)+0,Calculations!$C$33:$C$84)</f>
        <v>14583.33333333333</v>
      </c>
      <c r="E10" s="37">
        <f>SUMPRODUCT((Calculations!$D$33:$D$84=Output!E5)+0,Calculations!$C$33:$C$84)</f>
        <v>14583.33333333333</v>
      </c>
      <c r="F10" s="37">
        <f>SUMPRODUCT((Calculations!$D$33:$D$84=Output!F5)+0,Calculations!$C$33:$C$84)</f>
        <v>14583.33333333333</v>
      </c>
      <c r="G10" s="37">
        <f>SUMPRODUCT((Calculations!$D$33:$D$84=Output!G5)+0,Calculations!$C$33:$C$84)</f>
        <v>14583.33333333333</v>
      </c>
      <c r="H10" s="37">
        <f>SUMPRODUCT((Calculations!$D$33:$D$84=Output!H5)+0,Calculations!$C$33:$C$84)</f>
        <v>14583.33333333333</v>
      </c>
      <c r="I10" s="37">
        <f>SUMPRODUCT((Calculations!$D$33:$D$84=Output!I5)+0,Calculations!$C$33:$C$84)</f>
        <v>14583.33333333333</v>
      </c>
      <c r="J10" s="37">
        <f>SUMPRODUCT((Calculations!$D$33:$D$84=Output!J5)+0,Calculations!$C$33:$C$84)</f>
        <v>14583.33333333333</v>
      </c>
      <c r="K10" s="37">
        <f>SUMPRODUCT((Calculations!$D$33:$D$84=Output!K5)+0,Calculations!$C$33:$C$84)</f>
        <v>14583.33333333333</v>
      </c>
      <c r="L10" s="37">
        <f>SUMPRODUCT((Calculations!$D$33:$D$84=Output!L5)+0,Calculations!$C$33:$C$84)</f>
        <v>14583.33333333333</v>
      </c>
      <c r="M10" s="37">
        <f>SUMPRODUCT((Calculations!$D$33:$D$84=Output!M5)+0,Calculations!$C$33:$C$84)</f>
        <v>14583.33333333333</v>
      </c>
      <c r="N10" s="37">
        <f>SUMPRODUCT((Calculations!$D$33:$D$84=Output!N5)+0,Calculations!$C$33:$C$84)</f>
        <v>14583.33333333333</v>
      </c>
      <c r="O10" s="37">
        <f>SUMPRODUCT((Calculations!$D$33:$D$84=Output!O5)+0,Calculations!$C$33:$C$84)</f>
        <v>14583.33333333333</v>
      </c>
      <c r="P10" s="37">
        <f>SUMPRODUCT((Calculations!$D$33:$D$84=Output!P5)+0,Calculations!$C$33:$C$84)</f>
        <v>14583.33333333333</v>
      </c>
      <c r="Q10" s="37">
        <f>SUMPRODUCT((Calculations!$D$33:$D$84=Output!Q5)+0,Calculations!$C$33:$C$84)</f>
        <v>14583.33333333333</v>
      </c>
      <c r="R10" s="37">
        <f>SUMPRODUCT((Calculations!$D$33:$D$84=Output!R5)+0,Calculations!$C$33:$C$84)</f>
        <v>14583.33333333333</v>
      </c>
      <c r="S10" s="37">
        <f>SUMPRODUCT((Calculations!$D$33:$D$84=Output!S5)+0,Calculations!$C$33:$C$84)</f>
        <v>14583.33333333333</v>
      </c>
      <c r="T10" s="37">
        <f>SUMPRODUCT((Calculations!$D$33:$D$84=Output!T5)+0,Calculations!$C$33:$C$84)</f>
        <v>14583.33333333333</v>
      </c>
      <c r="U10" s="37">
        <f>SUMPRODUCT((Calculations!$D$33:$D$84=Output!U5)+0,Calculations!$C$33:$C$84)</f>
        <v>14583.33333333333</v>
      </c>
      <c r="V10" s="37">
        <f>SUMPRODUCT((Calculations!$D$33:$D$84=Output!V5)+0,Calculations!$C$33:$C$84)</f>
        <v>14583.33333333333</v>
      </c>
      <c r="W10" s="37">
        <f>SUMPRODUCT((Calculations!$D$33:$D$84=Output!W5)+0,Calculations!$C$33:$C$84)</f>
        <v>14583.33333333333</v>
      </c>
      <c r="X10" s="37">
        <f>SUMPRODUCT((Calculations!$D$33:$D$84=Output!X5)+0,Calculations!$C$33:$C$84)</f>
        <v>14583.33333333333</v>
      </c>
      <c r="Y10" s="37">
        <f>SUMPRODUCT((Calculations!$D$33:$D$84=Output!Y5)+0,Calculations!$C$33:$C$84)</f>
        <v>14583.33333333333</v>
      </c>
      <c r="Z10" s="37">
        <f>SUMIF($B$13:$Y$13,"Yes",B10:Y10)</f>
        <v>335416.6666666666</v>
      </c>
      <c r="AA10" s="37">
        <f>SUM(B10:M10)</f>
        <v>160416.6666666667</v>
      </c>
      <c r="AB10" s="37">
        <f>SUM(B10:Y10)</f>
        <v>335416.6666666666</v>
      </c>
    </row>
    <row r="11" spans="1:30" customHeight="1" ht="15.75">
      <c r="A11" s="43" t="s">
        <v>31</v>
      </c>
      <c r="B11" s="80">
        <f>B6+B9-B10</f>
        <v>324990</v>
      </c>
      <c r="C11" s="80">
        <f>C6+C9-C10</f>
        <v>60406.66666666667</v>
      </c>
      <c r="D11" s="80">
        <f>D6+D9-D10</f>
        <v>60406.66666666667</v>
      </c>
      <c r="E11" s="80">
        <f>E6+E9-E10</f>
        <v>60406.66666666667</v>
      </c>
      <c r="F11" s="80">
        <f>F6+F9-F10</f>
        <v>60406.66666666667</v>
      </c>
      <c r="G11" s="80">
        <f>G6+G9-G10</f>
        <v>60406.66666666667</v>
      </c>
      <c r="H11" s="80">
        <f>H6+H9-H10</f>
        <v>60406.66666666667</v>
      </c>
      <c r="I11" s="80">
        <f>I6+I9-I10</f>
        <v>60406.66666666667</v>
      </c>
      <c r="J11" s="80">
        <f>J6+J9-J10</f>
        <v>60406.66666666667</v>
      </c>
      <c r="K11" s="80">
        <f>K6+K9-K10</f>
        <v>60406.66666666667</v>
      </c>
      <c r="L11" s="80">
        <f>L6+L9-L10</f>
        <v>60406.66666666667</v>
      </c>
      <c r="M11" s="80">
        <f>M6+M9-M10</f>
        <v>60406.66666666667</v>
      </c>
      <c r="N11" s="80">
        <f>N6+N9-N10</f>
        <v>60406.66666666667</v>
      </c>
      <c r="O11" s="80">
        <f>O6+O9-O10</f>
        <v>60406.66666666667</v>
      </c>
      <c r="P11" s="80">
        <f>P6+P9-P10</f>
        <v>60406.66666666667</v>
      </c>
      <c r="Q11" s="80">
        <f>Q6+Q9-Q10</f>
        <v>60406.66666666667</v>
      </c>
      <c r="R11" s="80">
        <f>R6+R9-R10</f>
        <v>60406.66666666667</v>
      </c>
      <c r="S11" s="80">
        <f>S6+S9-S10</f>
        <v>60406.66666666667</v>
      </c>
      <c r="T11" s="80">
        <f>T6+T9-T10</f>
        <v>60406.66666666667</v>
      </c>
      <c r="U11" s="80">
        <f>U6+U9-U10</f>
        <v>60406.66666666667</v>
      </c>
      <c r="V11" s="80">
        <f>V6+V9-V10</f>
        <v>60406.66666666667</v>
      </c>
      <c r="W11" s="80">
        <f>W6+W9-W10</f>
        <v>60406.66666666667</v>
      </c>
      <c r="X11" s="80">
        <f>X6+X9-X10</f>
        <v>60406.66666666667</v>
      </c>
      <c r="Y11" s="80">
        <f>Y6+Y9-Y10</f>
        <v>60406.66666666667</v>
      </c>
      <c r="Z11" s="85">
        <f>SUMIF($B$13:$Y$13,"Yes",B11:Y11)</f>
        <v>1714343.333333334</v>
      </c>
      <c r="AA11" s="80">
        <f>SUM(B11:M11)</f>
        <v>989463.3333333331</v>
      </c>
      <c r="AB11" s="46">
        <f>SUM(B11:Y11)</f>
        <v>1714343.333333334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0.03646015634115039</v>
      </c>
      <c r="D12" s="82">
        <f>IF(D13="Yes",IF(SUM($B$10:D10)/(SUM($B$6:D6)+SUM($B$9:D9))&lt;0,999.99,SUM($B$10:D10)/(SUM($B$6:D6)+SUM($B$9:D9))),"")</f>
        <v>0.06140738713322244</v>
      </c>
      <c r="E12" s="82">
        <f>IF(E13="Yes",IF(SUM($B$10:E10)/(SUM($B$6:E6)+SUM($B$9:E9))&lt;0,999.99,SUM($B$10:E10)/(SUM($B$6:E6)+SUM($B$9:E9))),"")</f>
        <v>0.07955124009018838</v>
      </c>
      <c r="F12" s="82">
        <f>IF(F13="Yes",IF(SUM($B$10:F10)/(SUM($B$6:F6)+SUM($B$9:F9))&lt;0,999.99,SUM($B$10:F10)/(SUM($B$6:F6)+SUM($B$9:F9))),"")</f>
        <v>0.09334080059738112</v>
      </c>
      <c r="G12" s="82">
        <f>IF(G13="Yes",IF(SUM($B$10:G10)/(SUM($B$6:G6)+SUM($B$9:G9))&lt;0,999.99,SUM($B$10:G10)/(SUM($B$6:G6)+SUM($B$9:G9))),"")</f>
        <v>0.1041755960034669</v>
      </c>
      <c r="H12" s="82">
        <f>IF(H13="Yes",IF(SUM($B$10:H10)/(SUM($B$6:H6)+SUM($B$9:H9))&lt;0,999.99,SUM($B$10:H10)/(SUM($B$6:H6)+SUM($B$9:H9))),"")</f>
        <v>0.1129134244383364</v>
      </c>
      <c r="I12" s="82">
        <f>IF(I13="Yes",IF(SUM($B$10:I10)/(SUM($B$6:I6)+SUM($B$9:I9))&lt;0,999.99,SUM($B$10:I10)/(SUM($B$6:I6)+SUM($B$9:I9))),"")</f>
        <v>0.120109343624498</v>
      </c>
      <c r="J12" s="82">
        <f>IF(J13="Yes",IF(SUM($B$10:J10)/(SUM($B$6:J6)+SUM($B$9:J9))&lt;0,999.99,SUM($B$10:J10)/(SUM($B$6:J6)+SUM($B$9:J9))),"")</f>
        <v>0.1261383990514392</v>
      </c>
      <c r="K12" s="82">
        <f>IF(K13="Yes",IF(SUM($B$10:K10)/(SUM($B$6:K6)+SUM($B$9:K9))&lt;0,999.99,SUM($B$10:K10)/(SUM($B$6:K6)+SUM($B$9:K9))),"")</f>
        <v>0.1312631263126312</v>
      </c>
      <c r="L12" s="82">
        <f>IF(L13="Yes",IF(SUM($B$10:L10)/(SUM($B$6:L6)+SUM($B$9:L9))&lt;0,999.99,SUM($B$10:L10)/(SUM($B$6:L6)+SUM($B$9:L9))),"")</f>
        <v>0.1356727975265686</v>
      </c>
      <c r="M12" s="82">
        <f>IF(M13="Yes",IF(SUM($B$10:M10)/(SUM($B$6:M6)+SUM($B$9:M9))&lt;0,999.99,SUM($B$10:M10)/(SUM($B$6:M6)+SUM($B$9:M9))),"")</f>
        <v>0.1395073109078049</v>
      </c>
      <c r="N12" s="82">
        <f>IF(N13="Yes",IF(SUM($B$10:N10)/(SUM($B$6:N6)+SUM($B$9:N9))&lt;0,999.99,SUM($B$10:N10)/(SUM($B$6:N6)+SUM($B$9:N9))),"")</f>
        <v>0.1428723048160213</v>
      </c>
      <c r="O12" s="82">
        <f>IF(O13="Yes",IF(SUM($B$10:O10)/(SUM($B$6:O6)+SUM($B$9:O9))&lt;0,999.99,SUM($B$10:O10)/(SUM($B$6:O6)+SUM($B$9:O9))),"")</f>
        <v>0.1458490401530421</v>
      </c>
      <c r="P12" s="82">
        <f>IF(P13="Yes",IF(SUM($B$10:P10)/(SUM($B$6:P6)+SUM($B$9:P9))&lt;0,999.99,SUM($B$10:P10)/(SUM($B$6:P6)+SUM($B$9:P9))),"")</f>
        <v>0.1485010485992412</v>
      </c>
      <c r="Q12" s="82">
        <f>IF(Q13="Yes",IF(SUM($B$10:Q10)/(SUM($B$6:Q6)+SUM($B$9:Q9))&lt;0,999.99,SUM($B$10:Q10)/(SUM($B$6:Q6)+SUM($B$9:Q9))),"")</f>
        <v>0.150878717651603</v>
      </c>
      <c r="R12" s="82">
        <f>IF(R13="Yes",IF(SUM($B$10:R10)/(SUM($B$6:R6)+SUM($B$9:R9))&lt;0,999.99,SUM($B$10:R10)/(SUM($B$6:R6)+SUM($B$9:R9))),"")</f>
        <v>0.1530225227293097</v>
      </c>
      <c r="S12" s="82">
        <f>IF(S13="Yes",IF(SUM($B$10:S10)/(SUM($B$6:S6)+SUM($B$9:S9))&lt;0,999.99,SUM($B$10:S10)/(SUM($B$6:S6)+SUM($B$9:S9))),"")</f>
        <v>0.1549653502685719</v>
      </c>
      <c r="T12" s="82">
        <f>IF(T13="Yes",IF(SUM($B$10:T10)/(SUM($B$6:T6)+SUM($B$9:T9))&lt;0,999.99,SUM($B$10:T10)/(SUM($B$6:T6)+SUM($B$9:T9))),"")</f>
        <v>0.1567341967148513</v>
      </c>
      <c r="U12" s="82">
        <f>IF(U13="Yes",IF(SUM($B$10:U10)/(SUM($B$6:U6)+SUM($B$9:U9))&lt;0,999.99,SUM($B$10:U10)/(SUM($B$6:U6)+SUM($B$9:U9))),"")</f>
        <v>0.1583514306396922</v>
      </c>
      <c r="V12" s="82">
        <f>IF(V13="Yes",IF(SUM($B$10:V10)/(SUM($B$6:V6)+SUM($B$9:V9))&lt;0,999.99,SUM($B$10:V10)/(SUM($B$6:V6)+SUM($B$9:V9))),"")</f>
        <v>0.1598357436563477</v>
      </c>
      <c r="W12" s="82">
        <f>IF(W13="Yes",IF(SUM($B$10:W10)/(SUM($B$6:W6)+SUM($B$9:W9))&lt;0,999.99,SUM($B$10:W10)/(SUM($B$6:W6)+SUM($B$9:W9))),"")</f>
        <v>0.1612028761224984</v>
      </c>
      <c r="X12" s="82">
        <f>IF(X13="Yes",IF(SUM($B$10:X10)/(SUM($B$6:X6)+SUM($B$9:X9))&lt;0,999.99,SUM($B$10:X10)/(SUM($B$6:X6)+SUM($B$9:X9))),"")</f>
        <v>0.1624661774957759</v>
      </c>
      <c r="Y12" s="82">
        <f>IF(Y13="Yes",IF(SUM($B$10:Y10)/(SUM($B$6:Y6)+SUM($B$9:Y9))&lt;0,999.99,SUM($B$10:Y10)/(SUM($B$6:Y6)+SUM($B$9:Y9))),"")</f>
        <v>0.1636370436864153</v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Yes</v>
      </c>
      <c r="P13" s="183" t="str">
        <f>IF(SUM(P9:$Y$10)&gt;0,"Yes","No")</f>
        <v>Yes</v>
      </c>
      <c r="Q13" s="183" t="str">
        <f>IF(SUM(Q9:$Y$10)&gt;0,"Yes","No")</f>
        <v>Yes</v>
      </c>
      <c r="R13" s="183" t="str">
        <f>IF(SUM(R9:$Y$10)&gt;0,"Yes","No")</f>
        <v>Yes</v>
      </c>
      <c r="S13" s="183" t="str">
        <f>IF(SUM(S9:$Y$10)&gt;0,"Yes","No")</f>
        <v>Yes</v>
      </c>
      <c r="T13" s="183" t="str">
        <f>IF(SUM(T9:$Y$10)&gt;0,"Yes","No")</f>
        <v>Yes</v>
      </c>
      <c r="U13" s="183" t="str">
        <f>IF(SUM(U9:$Y$10)&gt;0,"Yes","No")</f>
        <v>Yes</v>
      </c>
      <c r="V13" s="183" t="str">
        <f>IF(SUM(V9:$Y$10)&gt;0,"Yes","No")</f>
        <v>Yes</v>
      </c>
      <c r="W13" s="183" t="str">
        <f>IF(SUM(W9:$Y$10)&gt;0,"Yes","No")</f>
        <v>Yes</v>
      </c>
      <c r="X13" s="183" t="str">
        <f>IF(SUM(X9:$Y$10)&gt;0,"Yes","No")</f>
        <v>Yes</v>
      </c>
      <c r="Y13" s="183" t="str">
        <f>IF(SUM(Y9:$Y$10)&gt;0,"Yes","No")</f>
        <v>Yes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43040</v>
      </c>
      <c r="C17" s="17">
        <f>C5</f>
        <v>43070</v>
      </c>
      <c r="D17" s="17">
        <f>D5</f>
        <v>43101</v>
      </c>
      <c r="E17" s="17">
        <f>E5</f>
        <v>43132</v>
      </c>
      <c r="F17" s="17">
        <f>F5</f>
        <v>43160</v>
      </c>
      <c r="G17" s="17">
        <f>G5</f>
        <v>43191</v>
      </c>
      <c r="H17" s="17">
        <f>H5</f>
        <v>43221</v>
      </c>
      <c r="I17" s="17">
        <f>I5</f>
        <v>43252</v>
      </c>
      <c r="J17" s="17">
        <f>J5</f>
        <v>43282</v>
      </c>
      <c r="K17" s="17">
        <f>K5</f>
        <v>43313</v>
      </c>
      <c r="L17" s="17">
        <f>L5</f>
        <v>43344</v>
      </c>
      <c r="M17" s="17">
        <f>M5</f>
        <v>43374</v>
      </c>
      <c r="N17" s="17">
        <f>N5</f>
        <v>43405</v>
      </c>
      <c r="O17" s="17">
        <f>O5</f>
        <v>43435</v>
      </c>
      <c r="P17" s="17">
        <f>P5</f>
        <v>43466</v>
      </c>
      <c r="Q17" s="17">
        <f>Q5</f>
        <v>43497</v>
      </c>
      <c r="R17" s="17">
        <f>R5</f>
        <v>43525</v>
      </c>
      <c r="S17" s="17">
        <f>S5</f>
        <v>43556</v>
      </c>
      <c r="T17" s="17">
        <f>T5</f>
        <v>43586</v>
      </c>
      <c r="U17" s="17">
        <f>U5</f>
        <v>43617</v>
      </c>
      <c r="V17" s="17">
        <f>V5</f>
        <v>43647</v>
      </c>
      <c r="W17" s="17">
        <f>W5</f>
        <v>43678</v>
      </c>
      <c r="X17" s="17">
        <f>X5</f>
        <v>43709</v>
      </c>
      <c r="Y17" s="17">
        <f>Y5</f>
        <v>43739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>
        <f>IF(Calculations!A4&lt;&gt;Parameters!$A$18,IF(Calculations!A4=0,"",Calculations!A4),Inputs!B7)</f>
        <v>0</v>
      </c>
      <c r="B18" s="36">
        <f>N18</f>
        <v>0</v>
      </c>
      <c r="C18" s="36">
        <f>O18</f>
        <v>0</v>
      </c>
      <c r="D18" s="36">
        <f>P18</f>
        <v>0</v>
      </c>
      <c r="E18" s="36">
        <f>Q18</f>
        <v>0</v>
      </c>
      <c r="F18" s="36">
        <f>R18</f>
        <v>0</v>
      </c>
      <c r="G18" s="36">
        <f>S18</f>
        <v>0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0</v>
      </c>
      <c r="AA18" s="36">
        <f>SUM(B18:M18)</f>
        <v>0</v>
      </c>
      <c r="AB18" s="36">
        <f>SUM(B18:Y18)</f>
        <v>0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31999.99999999999</v>
      </c>
    </row>
    <row r="24" spans="1:30">
      <c r="A24" s="43" t="str">
        <f>IF(Inputs!A19="","",IF(Inputs!A19=Parameters!$A$30,Inputs!B19,Inputs!A19))</f>
        <v>Chicken_broilers</v>
      </c>
      <c r="B24" s="36">
        <f>IFERROR(Calculations!$P14/12,"")</f>
        <v>84000</v>
      </c>
      <c r="C24" s="36">
        <f>IFERROR(Calculations!$P14/12,"")</f>
        <v>84000</v>
      </c>
      <c r="D24" s="36">
        <f>IFERROR(Calculations!$P14/12,"")</f>
        <v>84000</v>
      </c>
      <c r="E24" s="36">
        <f>IFERROR(Calculations!$P14/12,"")</f>
        <v>84000</v>
      </c>
      <c r="F24" s="36">
        <f>IFERROR(Calculations!$P14/12,"")</f>
        <v>84000</v>
      </c>
      <c r="G24" s="36">
        <f>IFERROR(Calculations!$P14/12,"")</f>
        <v>84000</v>
      </c>
      <c r="H24" s="36">
        <f>IFERROR(Calculations!$P14/12,"")</f>
        <v>84000</v>
      </c>
      <c r="I24" s="36">
        <f>IFERROR(Calculations!$P14/12,"")</f>
        <v>84000</v>
      </c>
      <c r="J24" s="36">
        <f>IFERROR(Calculations!$P14/12,"")</f>
        <v>84000</v>
      </c>
      <c r="K24" s="36">
        <f>IFERROR(Calculations!$P14/12,"")</f>
        <v>84000</v>
      </c>
      <c r="L24" s="36">
        <f>IFERROR(Calculations!$P14/12,"")</f>
        <v>84000</v>
      </c>
      <c r="M24" s="36">
        <f>IFERROR(Calculations!$P14/12,"")</f>
        <v>84000</v>
      </c>
      <c r="N24" s="36">
        <f>IFERROR(Calculations!$P14/12,"")</f>
        <v>84000</v>
      </c>
      <c r="O24" s="36">
        <f>IFERROR(Calculations!$P14/12,"")</f>
        <v>84000</v>
      </c>
      <c r="P24" s="36">
        <f>IFERROR(Calculations!$P14/12,"")</f>
        <v>84000</v>
      </c>
      <c r="Q24" s="36">
        <f>IFERROR(Calculations!$P14/12,"")</f>
        <v>84000</v>
      </c>
      <c r="R24" s="36">
        <f>IFERROR(Calculations!$P14/12,"")</f>
        <v>84000</v>
      </c>
      <c r="S24" s="36">
        <f>IFERROR(Calculations!$P14/12,"")</f>
        <v>84000</v>
      </c>
      <c r="T24" s="36">
        <f>IFERROR(Calculations!$P14/12,"")</f>
        <v>84000</v>
      </c>
      <c r="U24" s="36">
        <f>IFERROR(Calculations!$P14/12,"")</f>
        <v>84000</v>
      </c>
      <c r="V24" s="36">
        <f>IFERROR(Calculations!$P14/12,"")</f>
        <v>84000</v>
      </c>
      <c r="W24" s="36">
        <f>IFERROR(Calculations!$P14/12,"")</f>
        <v>84000</v>
      </c>
      <c r="X24" s="36">
        <f>IFERROR(Calculations!$P14/12,"")</f>
        <v>84000</v>
      </c>
      <c r="Y24" s="36">
        <f>IFERROR(Calculations!$P14/12,"")</f>
        <v>84000</v>
      </c>
      <c r="Z24" s="36">
        <f>SUMIF($B$13:$Y$13,"Yes",B24:Y24)</f>
        <v>2016000</v>
      </c>
      <c r="AA24" s="36">
        <f>SUM(B24:M24)</f>
        <v>1008000</v>
      </c>
      <c r="AB24" s="46">
        <f>SUM(B24:Y24)</f>
        <v>2016000</v>
      </c>
    </row>
    <row r="25" spans="1:30">
      <c r="A25" s="43" t="str">
        <f>IF(Inputs!A20="","",IF(Inputs!A20=Parameters!$A$30,Inputs!B20,Inputs!A20))</f>
        <v>Chicken_broilers</v>
      </c>
      <c r="B25" s="36">
        <f>IFERROR(Calculations!$P15/12,"")</f>
        <v>0</v>
      </c>
      <c r="C25" s="36">
        <f>IFERROR(Calculations!$P15/12,"")</f>
        <v>0</v>
      </c>
      <c r="D25" s="36">
        <f>IFERROR(Calculations!$P15/12,"")</f>
        <v>0</v>
      </c>
      <c r="E25" s="36">
        <f>IFERROR(Calculations!$P15/12,"")</f>
        <v>0</v>
      </c>
      <c r="F25" s="36">
        <f>IFERROR(Calculations!$P15/12,"")</f>
        <v>0</v>
      </c>
      <c r="G25" s="36">
        <f>IFERROR(Calculations!$P15/12,"")</f>
        <v>0</v>
      </c>
      <c r="H25" s="36">
        <f>IFERROR(Calculations!$P15/12,"")</f>
        <v>0</v>
      </c>
      <c r="I25" s="36">
        <f>IFERROR(Calculations!$P15/12,"")</f>
        <v>0</v>
      </c>
      <c r="J25" s="36">
        <f>IFERROR(Calculations!$P15/12,"")</f>
        <v>0</v>
      </c>
      <c r="K25" s="36">
        <f>IFERROR(Calculations!$P15/12,"")</f>
        <v>0</v>
      </c>
      <c r="L25" s="36">
        <f>IFERROR(Calculations!$P15/12,"")</f>
        <v>0</v>
      </c>
      <c r="M25" s="36">
        <f>IFERROR(Calculations!$P15/12,"")</f>
        <v>0</v>
      </c>
      <c r="N25" s="36">
        <f>IFERROR(Calculations!$P15/12,"")</f>
        <v>0</v>
      </c>
      <c r="O25" s="36">
        <f>IFERROR(Calculations!$P15/12,"")</f>
        <v>0</v>
      </c>
      <c r="P25" s="36">
        <f>IFERROR(Calculations!$P15/12,"")</f>
        <v>0</v>
      </c>
      <c r="Q25" s="36">
        <f>IFERROR(Calculations!$P15/12,"")</f>
        <v>0</v>
      </c>
      <c r="R25" s="36">
        <f>IFERROR(Calculations!$P15/12,"")</f>
        <v>0</v>
      </c>
      <c r="S25" s="36">
        <f>IFERROR(Calculations!$P15/12,"")</f>
        <v>0</v>
      </c>
      <c r="T25" s="36">
        <f>IFERROR(Calculations!$P15/12,"")</f>
        <v>0</v>
      </c>
      <c r="U25" s="36">
        <f>IFERROR(Calculations!$P15/12,"")</f>
        <v>0</v>
      </c>
      <c r="V25" s="36">
        <f>IFERROR(Calculations!$P15/12,"")</f>
        <v>0</v>
      </c>
      <c r="W25" s="36">
        <f>IFERROR(Calculations!$P15/12,"")</f>
        <v>0</v>
      </c>
      <c r="X25" s="36">
        <f>IFERROR(Calculations!$P15/12,"")</f>
        <v>0</v>
      </c>
      <c r="Y25" s="36">
        <f>IFERROR(Calculations!$P15/12,"")</f>
        <v>0</v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>Chicken_broilers</v>
      </c>
      <c r="B26" s="36">
        <f>IFERROR(Calculations!$P16/12,"")</f>
        <v>0</v>
      </c>
      <c r="C26" s="36">
        <f>IFERROR(Calculations!$P16/12,"")</f>
        <v>0</v>
      </c>
      <c r="D26" s="36">
        <f>IFERROR(Calculations!$P16/12,"")</f>
        <v>0</v>
      </c>
      <c r="E26" s="36">
        <f>IFERROR(Calculations!$P16/12,"")</f>
        <v>0</v>
      </c>
      <c r="F26" s="36">
        <f>IFERROR(Calculations!$P16/12,"")</f>
        <v>0</v>
      </c>
      <c r="G26" s="36">
        <f>IFERROR(Calculations!$P16/12,"")</f>
        <v>0</v>
      </c>
      <c r="H26" s="36">
        <f>IFERROR(Calculations!$P16/12,"")</f>
        <v>0</v>
      </c>
      <c r="I26" s="36">
        <f>IFERROR(Calculations!$P16/12,"")</f>
        <v>0</v>
      </c>
      <c r="J26" s="36">
        <f>IFERROR(Calculations!$P16/12,"")</f>
        <v>0</v>
      </c>
      <c r="K26" s="36">
        <f>IFERROR(Calculations!$P16/12,"")</f>
        <v>0</v>
      </c>
      <c r="L26" s="36">
        <f>IFERROR(Calculations!$P16/12,"")</f>
        <v>0</v>
      </c>
      <c r="M26" s="36">
        <f>IFERROR(Calculations!$P16/12,"")</f>
        <v>0</v>
      </c>
      <c r="N26" s="36">
        <f>IFERROR(Calculations!$P16/12,"")</f>
        <v>0</v>
      </c>
      <c r="O26" s="36">
        <f>IFERROR(Calculations!$P16/12,"")</f>
        <v>0</v>
      </c>
      <c r="P26" s="36">
        <f>IFERROR(Calculations!$P16/12,"")</f>
        <v>0</v>
      </c>
      <c r="Q26" s="36">
        <f>IFERROR(Calculations!$P16/12,"")</f>
        <v>0</v>
      </c>
      <c r="R26" s="36">
        <f>IFERROR(Calculations!$P16/12,"")</f>
        <v>0</v>
      </c>
      <c r="S26" s="36">
        <f>IFERROR(Calculations!$P16/12,"")</f>
        <v>0</v>
      </c>
      <c r="T26" s="36">
        <f>IFERROR(Calculations!$P16/12,"")</f>
        <v>0</v>
      </c>
      <c r="U26" s="36">
        <f>IFERROR(Calculations!$P16/12,"")</f>
        <v>0</v>
      </c>
      <c r="V26" s="36">
        <f>IFERROR(Calculations!$P16/12,"")</f>
        <v>0</v>
      </c>
      <c r="W26" s="36">
        <f>IFERROR(Calculations!$P16/12,"")</f>
        <v>0</v>
      </c>
      <c r="X26" s="36">
        <f>IFERROR(Calculations!$P16/12,"")</f>
        <v>0</v>
      </c>
      <c r="Y26" s="36">
        <f>IFERROR(Calculations!$P16/12,"")</f>
        <v>0</v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>Chicken: sale of ex layers</v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85000</v>
      </c>
      <c r="C29" s="37">
        <f>Inputs!$B$30</f>
        <v>85000</v>
      </c>
      <c r="D29" s="37">
        <f>Inputs!$B$30</f>
        <v>85000</v>
      </c>
      <c r="E29" s="37">
        <f>Inputs!$B$30</f>
        <v>85000</v>
      </c>
      <c r="F29" s="37">
        <f>Inputs!$B$30</f>
        <v>85000</v>
      </c>
      <c r="G29" s="37">
        <f>Inputs!$B$30</f>
        <v>85000</v>
      </c>
      <c r="H29" s="37">
        <f>Inputs!$B$30</f>
        <v>85000</v>
      </c>
      <c r="I29" s="37">
        <f>Inputs!$B$30</f>
        <v>85000</v>
      </c>
      <c r="J29" s="37">
        <f>Inputs!$B$30</f>
        <v>85000</v>
      </c>
      <c r="K29" s="37">
        <f>Inputs!$B$30</f>
        <v>85000</v>
      </c>
      <c r="L29" s="37">
        <f>Inputs!$B$30</f>
        <v>85000</v>
      </c>
      <c r="M29" s="37">
        <f>Inputs!$B$30</f>
        <v>85000</v>
      </c>
      <c r="N29" s="37">
        <f>Inputs!$B$30</f>
        <v>85000</v>
      </c>
      <c r="O29" s="37">
        <f>Inputs!$B$30</f>
        <v>85000</v>
      </c>
      <c r="P29" s="37">
        <f>Inputs!$B$30</f>
        <v>85000</v>
      </c>
      <c r="Q29" s="37">
        <f>Inputs!$B$30</f>
        <v>85000</v>
      </c>
      <c r="R29" s="37">
        <f>Inputs!$B$30</f>
        <v>85000</v>
      </c>
      <c r="S29" s="37">
        <f>Inputs!$B$30</f>
        <v>85000</v>
      </c>
      <c r="T29" s="37">
        <f>Inputs!$B$30</f>
        <v>85000</v>
      </c>
      <c r="U29" s="37">
        <f>Inputs!$B$30</f>
        <v>85000</v>
      </c>
      <c r="V29" s="37">
        <f>Inputs!$B$30</f>
        <v>85000</v>
      </c>
      <c r="W29" s="37">
        <f>Inputs!$B$30</f>
        <v>85000</v>
      </c>
      <c r="X29" s="37">
        <f>Inputs!$B$30</f>
        <v>85000</v>
      </c>
      <c r="Y29" s="37">
        <f>Inputs!$B$30</f>
        <v>85000</v>
      </c>
      <c r="Z29" s="37">
        <f>SUMIF($B$13:$Y$13,"Yes",B29:Y29)</f>
        <v>2040000</v>
      </c>
      <c r="AA29" s="37">
        <f>SUM(B29:M29)</f>
        <v>1020000</v>
      </c>
      <c r="AB29" s="37">
        <f>SUM(B29:Y29)</f>
        <v>2040000</v>
      </c>
    </row>
    <row r="30" spans="1:30" customHeight="1" ht="15.75">
      <c r="A30" s="1" t="s">
        <v>37</v>
      </c>
      <c r="B30" s="19">
        <f>SUM(B18:B29)</f>
        <v>169000</v>
      </c>
      <c r="C30" s="19">
        <f>SUM(C18:C29)</f>
        <v>169000</v>
      </c>
      <c r="D30" s="19">
        <f>SUM(D18:D29)</f>
        <v>169000</v>
      </c>
      <c r="E30" s="19">
        <f>SUM(E18:E29)</f>
        <v>169000</v>
      </c>
      <c r="F30" s="19">
        <f>SUM(F18:F29)</f>
        <v>169000</v>
      </c>
      <c r="G30" s="19">
        <f>SUM(G18:G29)</f>
        <v>169000</v>
      </c>
      <c r="H30" s="19">
        <f>SUM(H18:H29)</f>
        <v>169000</v>
      </c>
      <c r="I30" s="19">
        <f>SUM(I18:I29)</f>
        <v>169000</v>
      </c>
      <c r="J30" s="19">
        <f>SUM(J18:J29)</f>
        <v>169000</v>
      </c>
      <c r="K30" s="19">
        <f>SUM(K18:K29)</f>
        <v>169000</v>
      </c>
      <c r="L30" s="19">
        <f>SUM(L18:L29)</f>
        <v>169000</v>
      </c>
      <c r="M30" s="19">
        <f>SUM(M18:M29)</f>
        <v>169000</v>
      </c>
      <c r="N30" s="19">
        <f>SUM(N18:N29)</f>
        <v>169000</v>
      </c>
      <c r="O30" s="19">
        <f>SUM(O18:O29)</f>
        <v>169000</v>
      </c>
      <c r="P30" s="19">
        <f>SUM(P18:P29)</f>
        <v>169000</v>
      </c>
      <c r="Q30" s="19">
        <f>SUM(Q18:Q29)</f>
        <v>169000</v>
      </c>
      <c r="R30" s="19">
        <f>SUM(R18:R29)</f>
        <v>169000</v>
      </c>
      <c r="S30" s="19">
        <f>SUM(S18:S29)</f>
        <v>169000</v>
      </c>
      <c r="T30" s="19">
        <f>SUM(T18:T29)</f>
        <v>169000</v>
      </c>
      <c r="U30" s="19">
        <f>SUM(U18:U29)</f>
        <v>169000</v>
      </c>
      <c r="V30" s="19">
        <f>SUM(V18:V29)</f>
        <v>169000</v>
      </c>
      <c r="W30" s="19">
        <f>SUM(W18:W29)</f>
        <v>169000</v>
      </c>
      <c r="X30" s="19">
        <f>SUM(X18:X29)</f>
        <v>169000</v>
      </c>
      <c r="Y30" s="19">
        <f>SUM(Y18:Y29)</f>
        <v>169000</v>
      </c>
      <c r="Z30" s="19">
        <f>SUMIF($B$13:$Y$13,"Yes",B30:Y30)</f>
        <v>4056000</v>
      </c>
      <c r="AA30" s="19">
        <f>SUM(B30:M30)</f>
        <v>2028000</v>
      </c>
      <c r="AB30" s="19">
        <f>SUM(B30:Y30)</f>
        <v>4056000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43040</v>
      </c>
      <c r="C35" s="17">
        <f>C17</f>
        <v>43070</v>
      </c>
      <c r="D35" s="17">
        <f>D17</f>
        <v>43101</v>
      </c>
      <c r="E35" s="17">
        <f>E17</f>
        <v>43132</v>
      </c>
      <c r="F35" s="17">
        <f>F17</f>
        <v>43160</v>
      </c>
      <c r="G35" s="17">
        <f>G17</f>
        <v>43191</v>
      </c>
      <c r="H35" s="17">
        <f>H17</f>
        <v>43221</v>
      </c>
      <c r="I35" s="17">
        <f>I17</f>
        <v>43252</v>
      </c>
      <c r="J35" s="17">
        <f>J17</f>
        <v>43282</v>
      </c>
      <c r="K35" s="17">
        <f>K17</f>
        <v>43313</v>
      </c>
      <c r="L35" s="17">
        <f>L17</f>
        <v>43344</v>
      </c>
      <c r="M35" s="17">
        <f>M17</f>
        <v>43374</v>
      </c>
      <c r="N35" s="17">
        <f>N17</f>
        <v>43405</v>
      </c>
      <c r="O35" s="17">
        <f>O17</f>
        <v>43435</v>
      </c>
      <c r="P35" s="17">
        <f>P17</f>
        <v>43466</v>
      </c>
      <c r="Q35" s="17">
        <f>Q17</f>
        <v>43497</v>
      </c>
      <c r="R35" s="17">
        <f>R17</f>
        <v>43525</v>
      </c>
      <c r="S35" s="17">
        <f>S17</f>
        <v>43556</v>
      </c>
      <c r="T35" s="17">
        <f>T17</f>
        <v>43586</v>
      </c>
      <c r="U35" s="17">
        <f>U17</f>
        <v>43617</v>
      </c>
      <c r="V35" s="17">
        <f>V17</f>
        <v>43647</v>
      </c>
      <c r="W35" s="17">
        <f>W17</f>
        <v>43678</v>
      </c>
      <c r="X35" s="17">
        <f>X17</f>
        <v>43709</v>
      </c>
      <c r="Y35" s="17">
        <f>Y17</f>
        <v>43739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>
        <f>Calculations!$A$4</f>
        <v/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>
        <f>Calculations!$A$5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0</v>
      </c>
      <c r="AA42" s="36">
        <f>SUM(B42:M42)</f>
        <v>0</v>
      </c>
      <c r="AB42" s="36">
        <f>SUM(B42:Y42)</f>
        <v>0</v>
      </c>
    </row>
    <row r="43" spans="1:30" hidden="true" outlineLevel="1">
      <c r="A43" s="181">
        <f>Calculations!$A$4</f>
        <v/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>
        <f>Calculations!$A$5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>
        <f>Calculations!$A$4</f>
        <v/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>
        <f>Calculations!$A$5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>
        <f>Calculations!$A$4</f>
        <v/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>
        <f>Calculations!$A$5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>
        <f>Calculations!$A$4</f>
        <v/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>
        <f>Calculations!$A$5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0</v>
      </c>
      <c r="C66" s="36">
        <f>O66</f>
        <v>0</v>
      </c>
      <c r="D66" s="36">
        <f>P66</f>
        <v>0</v>
      </c>
      <c r="E66" s="36">
        <f>Q66</f>
        <v>0</v>
      </c>
      <c r="F66" s="36">
        <f>R66</f>
        <v>0</v>
      </c>
      <c r="G66" s="36">
        <f>S66</f>
        <v>0</v>
      </c>
      <c r="H66" s="36">
        <f>T66</f>
        <v>0</v>
      </c>
      <c r="I66" s="36">
        <f>U66</f>
        <v>0</v>
      </c>
      <c r="J66" s="36">
        <f>V66</f>
        <v>0</v>
      </c>
      <c r="K66" s="36">
        <f>W66</f>
        <v>0</v>
      </c>
      <c r="L66" s="36">
        <f>X66</f>
        <v>0</v>
      </c>
      <c r="M66" s="36">
        <f>Y66</f>
        <v>0</v>
      </c>
      <c r="N66" s="46">
        <f>SUM(N67:N71)</f>
        <v>0</v>
      </c>
      <c r="O66" s="46">
        <f>SUM(O67:O71)</f>
        <v>0</v>
      </c>
      <c r="P66" s="46">
        <f>SUM(P67:P71)</f>
        <v>0</v>
      </c>
      <c r="Q66" s="46">
        <f>SUM(Q67:Q71)</f>
        <v>0</v>
      </c>
      <c r="R66" s="46">
        <f>SUM(R67:R71)</f>
        <v>0</v>
      </c>
      <c r="S66" s="46">
        <f>SUM(S67:S71)</f>
        <v>0</v>
      </c>
      <c r="T66" s="46">
        <f>SUM(T67:T71)</f>
        <v>0</v>
      </c>
      <c r="U66" s="46">
        <f>SUM(U67:U71)</f>
        <v>0</v>
      </c>
      <c r="V66" s="46">
        <f>SUM(V67:V71)</f>
        <v>0</v>
      </c>
      <c r="W66" s="46">
        <f>SUM(W67:W71)</f>
        <v>0</v>
      </c>
      <c r="X66" s="46">
        <f>SUM(X67:X71)</f>
        <v>0</v>
      </c>
      <c r="Y66" s="46">
        <f>SUM(Y67:Y71)</f>
        <v>0</v>
      </c>
      <c r="Z66" s="46">
        <f>SUMIF($B$13:$Y$13,"Yes",B66:Y66)</f>
        <v>0</v>
      </c>
      <c r="AA66" s="46">
        <f>SUM(B66:M66)</f>
        <v>0</v>
      </c>
      <c r="AB66" s="46">
        <f>SUM(B66:Y66)</f>
        <v>0</v>
      </c>
    </row>
    <row r="67" spans="1:30" hidden="true" outlineLevel="1">
      <c r="A67" s="181">
        <f>Calculations!$A$4</f>
        <v/>
      </c>
      <c r="B67" s="36">
        <f>N67</f>
        <v>0</v>
      </c>
      <c r="C67" s="36">
        <f>O67</f>
        <v>0</v>
      </c>
      <c r="D67" s="36">
        <f>P67</f>
        <v>0</v>
      </c>
      <c r="E67" s="36">
        <f>Q67</f>
        <v>0</v>
      </c>
      <c r="F67" s="36">
        <f>R67</f>
        <v>0</v>
      </c>
      <c r="G67" s="36">
        <f>S67</f>
        <v>0</v>
      </c>
      <c r="H67" s="36">
        <f>T67</f>
        <v>0</v>
      </c>
      <c r="I67" s="36">
        <f>U67</f>
        <v>0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0</v>
      </c>
      <c r="AA67" s="46">
        <f>SUM(B67:M67)</f>
        <v>0</v>
      </c>
      <c r="AB67" s="46">
        <f>SUM(B67:Y67)</f>
        <v>0</v>
      </c>
    </row>
    <row r="68" spans="1:30" hidden="true" outlineLevel="1">
      <c r="A68" s="181">
        <f>Calculations!$A$5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6083.333333333333</v>
      </c>
      <c r="C74" s="46">
        <f>SUM(Calculations!$Q$14:$Q$16)/12</f>
        <v>6083.333333333333</v>
      </c>
      <c r="D74" s="46">
        <f>SUM(Calculations!$Q$14:$Q$16)/12</f>
        <v>6083.333333333333</v>
      </c>
      <c r="E74" s="46">
        <f>SUM(Calculations!$Q$14:$Q$16)/12</f>
        <v>6083.333333333333</v>
      </c>
      <c r="F74" s="46">
        <f>SUM(Calculations!$Q$14:$Q$16)/12</f>
        <v>6083.333333333333</v>
      </c>
      <c r="G74" s="46">
        <f>SUM(Calculations!$Q$14:$Q$16)/12</f>
        <v>6083.333333333333</v>
      </c>
      <c r="H74" s="46">
        <f>SUM(Calculations!$Q$14:$Q$16)/12</f>
        <v>6083.333333333333</v>
      </c>
      <c r="I74" s="46">
        <f>SUM(Calculations!$Q$14:$Q$16)/12</f>
        <v>6083.333333333333</v>
      </c>
      <c r="J74" s="46">
        <f>SUM(Calculations!$Q$14:$Q$16)/12</f>
        <v>6083.333333333333</v>
      </c>
      <c r="K74" s="46">
        <f>SUM(Calculations!$Q$14:$Q$16)/12</f>
        <v>6083.333333333333</v>
      </c>
      <c r="L74" s="46">
        <f>SUM(Calculations!$Q$14:$Q$16)/12</f>
        <v>6083.333333333333</v>
      </c>
      <c r="M74" s="46">
        <f>SUM(Calculations!$Q$14:$Q$16)/12</f>
        <v>6083.333333333333</v>
      </c>
      <c r="N74" s="46">
        <f>SUM(Calculations!$Q$14:$Q$16)/12</f>
        <v>6083.333333333333</v>
      </c>
      <c r="O74" s="46">
        <f>SUM(Calculations!$Q$14:$Q$16)/12</f>
        <v>6083.333333333333</v>
      </c>
      <c r="P74" s="46">
        <f>SUM(Calculations!$Q$14:$Q$16)/12</f>
        <v>6083.333333333333</v>
      </c>
      <c r="Q74" s="46">
        <f>SUM(Calculations!$Q$14:$Q$16)/12</f>
        <v>6083.333333333333</v>
      </c>
      <c r="R74" s="46">
        <f>SUM(Calculations!$Q$14:$Q$16)/12</f>
        <v>6083.333333333333</v>
      </c>
      <c r="S74" s="46">
        <f>SUM(Calculations!$Q$14:$Q$16)/12</f>
        <v>6083.333333333333</v>
      </c>
      <c r="T74" s="46">
        <f>SUM(Calculations!$Q$14:$Q$16)/12</f>
        <v>6083.333333333333</v>
      </c>
      <c r="U74" s="46">
        <f>SUM(Calculations!$Q$14:$Q$16)/12</f>
        <v>6083.333333333333</v>
      </c>
      <c r="V74" s="46">
        <f>SUM(Calculations!$Q$14:$Q$16)/12</f>
        <v>6083.333333333333</v>
      </c>
      <c r="W74" s="46">
        <f>SUM(Calculations!$Q$14:$Q$16)/12</f>
        <v>6083.333333333333</v>
      </c>
      <c r="X74" s="46">
        <f>SUM(Calculations!$Q$14:$Q$16)/12</f>
        <v>6083.333333333333</v>
      </c>
      <c r="Y74" s="46">
        <f>SUM(Calculations!$Q$14:$Q$16)/12</f>
        <v>6083.333333333333</v>
      </c>
      <c r="Z74" s="46">
        <f>SUMIF($B$13:$Y$13,"Yes",B74:Y74)</f>
        <v>146000</v>
      </c>
      <c r="AA74" s="46">
        <f>SUM(B74:M74)</f>
        <v>73000</v>
      </c>
      <c r="AB74" s="46">
        <f>SUM(B74:Y74)</f>
        <v>146000</v>
      </c>
    </row>
    <row r="75" spans="1:30">
      <c r="A75" s="16" t="s">
        <v>47</v>
      </c>
      <c r="B75" s="46">
        <f>SUM(Calculations!$R$14:$R$16)/12</f>
        <v>1600</v>
      </c>
      <c r="C75" s="46">
        <f>SUM(Calculations!$R$14:$R$16)/12</f>
        <v>1600</v>
      </c>
      <c r="D75" s="46">
        <f>SUM(Calculations!$R$14:$R$16)/12</f>
        <v>1600</v>
      </c>
      <c r="E75" s="46">
        <f>SUM(Calculations!$R$14:$R$16)/12</f>
        <v>1600</v>
      </c>
      <c r="F75" s="46">
        <f>SUM(Calculations!$R$14:$R$16)/12</f>
        <v>1600</v>
      </c>
      <c r="G75" s="46">
        <f>SUM(Calculations!$R$14:$R$16)/12</f>
        <v>1600</v>
      </c>
      <c r="H75" s="46">
        <f>SUM(Calculations!$R$14:$R$16)/12</f>
        <v>1600</v>
      </c>
      <c r="I75" s="46">
        <f>SUM(Calculations!$R$14:$R$16)/12</f>
        <v>1600</v>
      </c>
      <c r="J75" s="46">
        <f>SUM(Calculations!$R$14:$R$16)/12</f>
        <v>1600</v>
      </c>
      <c r="K75" s="46">
        <f>SUM(Calculations!$R$14:$R$16)/12</f>
        <v>1600</v>
      </c>
      <c r="L75" s="46">
        <f>SUM(Calculations!$R$14:$R$16)/12</f>
        <v>1600</v>
      </c>
      <c r="M75" s="46">
        <f>SUM(Calculations!$R$14:$R$16)/12</f>
        <v>1600</v>
      </c>
      <c r="N75" s="46">
        <f>SUM(Calculations!$R$14:$R$16)/12</f>
        <v>1600</v>
      </c>
      <c r="O75" s="46">
        <f>SUM(Calculations!$R$14:$R$16)/12</f>
        <v>1600</v>
      </c>
      <c r="P75" s="46">
        <f>SUM(Calculations!$R$14:$R$16)/12</f>
        <v>1600</v>
      </c>
      <c r="Q75" s="46">
        <f>SUM(Calculations!$R$14:$R$16)/12</f>
        <v>1600</v>
      </c>
      <c r="R75" s="46">
        <f>SUM(Calculations!$R$14:$R$16)/12</f>
        <v>1600</v>
      </c>
      <c r="S75" s="46">
        <f>SUM(Calculations!$R$14:$R$16)/12</f>
        <v>1600</v>
      </c>
      <c r="T75" s="46">
        <f>SUM(Calculations!$R$14:$R$16)/12</f>
        <v>1600</v>
      </c>
      <c r="U75" s="46">
        <f>SUM(Calculations!$R$14:$R$16)/12</f>
        <v>1600</v>
      </c>
      <c r="V75" s="46">
        <f>SUM(Calculations!$R$14:$R$16)/12</f>
        <v>1600</v>
      </c>
      <c r="W75" s="46">
        <f>SUM(Calculations!$R$14:$R$16)/12</f>
        <v>1600</v>
      </c>
      <c r="X75" s="46">
        <f>SUM(Calculations!$R$14:$R$16)/12</f>
        <v>1600</v>
      </c>
      <c r="Y75" s="46">
        <f>SUM(Calculations!$R$14:$R$16)/12</f>
        <v>1600</v>
      </c>
      <c r="Z75" s="46">
        <f>SUMIF($B$13:$Y$13,"Yes",B75:Y75)</f>
        <v>38400</v>
      </c>
      <c r="AA75" s="46">
        <f>SUM(B75:M75)</f>
        <v>19200</v>
      </c>
      <c r="AB75" s="46">
        <f>SUM(B75:Y75)</f>
        <v>38400</v>
      </c>
    </row>
    <row r="76" spans="1:30">
      <c r="A76" s="16" t="s">
        <v>48</v>
      </c>
      <c r="B76" s="46">
        <f>SUM(Calculations!$S$14:$S$16)/12</f>
        <v>1333.333333333333</v>
      </c>
      <c r="C76" s="46">
        <f>SUM(Calculations!$S$14:$S$16)/12</f>
        <v>1333.333333333333</v>
      </c>
      <c r="D76" s="46">
        <f>SUM(Calculations!$S$14:$S$16)/12</f>
        <v>1333.333333333333</v>
      </c>
      <c r="E76" s="46">
        <f>SUM(Calculations!$S$14:$S$16)/12</f>
        <v>1333.333333333333</v>
      </c>
      <c r="F76" s="46">
        <f>SUM(Calculations!$S$14:$S$16)/12</f>
        <v>1333.333333333333</v>
      </c>
      <c r="G76" s="46">
        <f>SUM(Calculations!$S$14:$S$16)/12</f>
        <v>1333.333333333333</v>
      </c>
      <c r="H76" s="46">
        <f>SUM(Calculations!$S$14:$S$16)/12</f>
        <v>1333.333333333333</v>
      </c>
      <c r="I76" s="46">
        <f>SUM(Calculations!$S$14:$S$16)/12</f>
        <v>1333.333333333333</v>
      </c>
      <c r="J76" s="46">
        <f>SUM(Calculations!$S$14:$S$16)/12</f>
        <v>1333.333333333333</v>
      </c>
      <c r="K76" s="46">
        <f>SUM(Calculations!$S$14:$S$16)/12</f>
        <v>1333.333333333333</v>
      </c>
      <c r="L76" s="46">
        <f>SUM(Calculations!$S$14:$S$16)/12</f>
        <v>1333.333333333333</v>
      </c>
      <c r="M76" s="46">
        <f>SUM(Calculations!$S$14:$S$16)/12</f>
        <v>1333.333333333333</v>
      </c>
      <c r="N76" s="46">
        <f>SUM(Calculations!$S$14:$S$16)/12</f>
        <v>1333.333333333333</v>
      </c>
      <c r="O76" s="46">
        <f>SUM(Calculations!$S$14:$S$16)/12</f>
        <v>1333.333333333333</v>
      </c>
      <c r="P76" s="46">
        <f>SUM(Calculations!$S$14:$S$16)/12</f>
        <v>1333.333333333333</v>
      </c>
      <c r="Q76" s="46">
        <f>SUM(Calculations!$S$14:$S$16)/12</f>
        <v>1333.333333333333</v>
      </c>
      <c r="R76" s="46">
        <f>SUM(Calculations!$S$14:$S$16)/12</f>
        <v>1333.333333333333</v>
      </c>
      <c r="S76" s="46">
        <f>SUM(Calculations!$S$14:$S$16)/12</f>
        <v>1333.333333333333</v>
      </c>
      <c r="T76" s="46">
        <f>SUM(Calculations!$S$14:$S$16)/12</f>
        <v>1333.333333333333</v>
      </c>
      <c r="U76" s="46">
        <f>SUM(Calculations!$S$14:$S$16)/12</f>
        <v>1333.333333333333</v>
      </c>
      <c r="V76" s="46">
        <f>SUM(Calculations!$S$14:$S$16)/12</f>
        <v>1333.333333333333</v>
      </c>
      <c r="W76" s="46">
        <f>SUM(Calculations!$S$14:$S$16)/12</f>
        <v>1333.333333333333</v>
      </c>
      <c r="X76" s="46">
        <f>SUM(Calculations!$S$14:$S$16)/12</f>
        <v>1333.333333333333</v>
      </c>
      <c r="Y76" s="46">
        <f>SUM(Calculations!$S$14:$S$16)/12</f>
        <v>1333.333333333333</v>
      </c>
      <c r="Z76" s="46">
        <f>SUMIF($B$13:$Y$13,"Yes",B76:Y76)</f>
        <v>31999.99999999999</v>
      </c>
      <c r="AA76" s="46">
        <f>SUM(B76:M76)</f>
        <v>16000</v>
      </c>
      <c r="AB76" s="46">
        <f>SUM(B76:Y76)</f>
        <v>31999.99999999999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35000</v>
      </c>
      <c r="C79" s="46">
        <f>Inputs!$B$31</f>
        <v>35000</v>
      </c>
      <c r="D79" s="46">
        <f>Inputs!$B$31</f>
        <v>35000</v>
      </c>
      <c r="E79" s="46">
        <f>Inputs!$B$31</f>
        <v>35000</v>
      </c>
      <c r="F79" s="46">
        <f>Inputs!$B$31</f>
        <v>35000</v>
      </c>
      <c r="G79" s="46">
        <f>Inputs!$B$31</f>
        <v>35000</v>
      </c>
      <c r="H79" s="46">
        <f>Inputs!$B$31</f>
        <v>35000</v>
      </c>
      <c r="I79" s="46">
        <f>Inputs!$B$31</f>
        <v>35000</v>
      </c>
      <c r="J79" s="46">
        <f>Inputs!$B$31</f>
        <v>35000</v>
      </c>
      <c r="K79" s="46">
        <f>Inputs!$B$31</f>
        <v>35000</v>
      </c>
      <c r="L79" s="46">
        <f>Inputs!$B$31</f>
        <v>35000</v>
      </c>
      <c r="M79" s="46">
        <f>Inputs!$B$31</f>
        <v>35000</v>
      </c>
      <c r="N79" s="46">
        <f>Inputs!$B$31</f>
        <v>35000</v>
      </c>
      <c r="O79" s="46">
        <f>Inputs!$B$31</f>
        <v>35000</v>
      </c>
      <c r="P79" s="46">
        <f>Inputs!$B$31</f>
        <v>35000</v>
      </c>
      <c r="Q79" s="46">
        <f>Inputs!$B$31</f>
        <v>35000</v>
      </c>
      <c r="R79" s="46">
        <f>Inputs!$B$31</f>
        <v>35000</v>
      </c>
      <c r="S79" s="46">
        <f>Inputs!$B$31</f>
        <v>35000</v>
      </c>
      <c r="T79" s="46">
        <f>Inputs!$B$31</f>
        <v>35000</v>
      </c>
      <c r="U79" s="46">
        <f>Inputs!$B$31</f>
        <v>35000</v>
      </c>
      <c r="V79" s="46">
        <f>Inputs!$B$31</f>
        <v>35000</v>
      </c>
      <c r="W79" s="46">
        <f>Inputs!$B$31</f>
        <v>35000</v>
      </c>
      <c r="X79" s="46">
        <f>Inputs!$B$31</f>
        <v>35000</v>
      </c>
      <c r="Y79" s="46">
        <f>Inputs!$B$31</f>
        <v>35000</v>
      </c>
      <c r="Z79" s="46">
        <f>SUMIF($B$13:$Y$13,"Yes",B79:Y79)</f>
        <v>840000</v>
      </c>
      <c r="AA79" s="46">
        <f>SUM(B79:M79)</f>
        <v>420000</v>
      </c>
      <c r="AB79" s="46">
        <f>SUM(B79:Y79)</f>
        <v>840000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49993.33333333334</v>
      </c>
      <c r="C81" s="46">
        <f>(SUM($AA$18:$AA$29)-SUM($AA$36,$AA$42,$AA$48,$AA$54,$AA$60,$AA$66,$AA$72:$AA$79))*Parameters!$B$37/12</f>
        <v>49993.33333333334</v>
      </c>
      <c r="D81" s="46">
        <f>(SUM($AA$18:$AA$29)-SUM($AA$36,$AA$42,$AA$48,$AA$54,$AA$60,$AA$66,$AA$72:$AA$79))*Parameters!$B$37/12</f>
        <v>49993.33333333334</v>
      </c>
      <c r="E81" s="46">
        <f>(SUM($AA$18:$AA$29)-SUM($AA$36,$AA$42,$AA$48,$AA$54,$AA$60,$AA$66,$AA$72:$AA$79))*Parameters!$B$37/12</f>
        <v>49993.33333333334</v>
      </c>
      <c r="F81" s="46">
        <f>(SUM($AA$18:$AA$29)-SUM($AA$36,$AA$42,$AA$48,$AA$54,$AA$60,$AA$66,$AA$72:$AA$79))*Parameters!$B$37/12</f>
        <v>49993.33333333334</v>
      </c>
      <c r="G81" s="46">
        <f>(SUM($AA$18:$AA$29)-SUM($AA$36,$AA$42,$AA$48,$AA$54,$AA$60,$AA$66,$AA$72:$AA$79))*Parameters!$B$37/12</f>
        <v>49993.33333333334</v>
      </c>
      <c r="H81" s="46">
        <f>(SUM($AA$18:$AA$29)-SUM($AA$36,$AA$42,$AA$48,$AA$54,$AA$60,$AA$66,$AA$72:$AA$79))*Parameters!$B$37/12</f>
        <v>49993.33333333334</v>
      </c>
      <c r="I81" s="46">
        <f>(SUM($AA$18:$AA$29)-SUM($AA$36,$AA$42,$AA$48,$AA$54,$AA$60,$AA$66,$AA$72:$AA$79))*Parameters!$B$37/12</f>
        <v>49993.33333333334</v>
      </c>
      <c r="J81" s="46">
        <f>(SUM($AA$18:$AA$29)-SUM($AA$36,$AA$42,$AA$48,$AA$54,$AA$60,$AA$66,$AA$72:$AA$79))*Parameters!$B$37/12</f>
        <v>49993.33333333334</v>
      </c>
      <c r="K81" s="46">
        <f>(SUM($AA$18:$AA$29)-SUM($AA$36,$AA$42,$AA$48,$AA$54,$AA$60,$AA$66,$AA$72:$AA$79))*Parameters!$B$37/12</f>
        <v>49993.33333333334</v>
      </c>
      <c r="L81" s="46">
        <f>(SUM($AA$18:$AA$29)-SUM($AA$36,$AA$42,$AA$48,$AA$54,$AA$60,$AA$66,$AA$72:$AA$79))*Parameters!$B$37/12</f>
        <v>49993.33333333334</v>
      </c>
      <c r="M81" s="46">
        <f>(SUM($AA$18:$AA$29)-SUM($AA$36,$AA$42,$AA$48,$AA$54,$AA$60,$AA$66,$AA$72:$AA$79))*Parameters!$B$37/12</f>
        <v>49993.33333333334</v>
      </c>
      <c r="N81" s="46">
        <f>(SUM($AA$18:$AA$29)-SUM($AA$36,$AA$42,$AA$48,$AA$54,$AA$60,$AA$66,$AA$72:$AA$79))*Parameters!$B$37/12</f>
        <v>49993.33333333334</v>
      </c>
      <c r="O81" s="46">
        <f>(SUM($AA$18:$AA$29)-SUM($AA$36,$AA$42,$AA$48,$AA$54,$AA$60,$AA$66,$AA$72:$AA$79))*Parameters!$B$37/12</f>
        <v>49993.33333333334</v>
      </c>
      <c r="P81" s="46">
        <f>(SUM($AA$18:$AA$29)-SUM($AA$36,$AA$42,$AA$48,$AA$54,$AA$60,$AA$66,$AA$72:$AA$79))*Parameters!$B$37/12</f>
        <v>49993.33333333334</v>
      </c>
      <c r="Q81" s="46">
        <f>(SUM($AA$18:$AA$29)-SUM($AA$36,$AA$42,$AA$48,$AA$54,$AA$60,$AA$66,$AA$72:$AA$79))*Parameters!$B$37/12</f>
        <v>49993.33333333334</v>
      </c>
      <c r="R81" s="46">
        <f>(SUM($AA$18:$AA$29)-SUM($AA$36,$AA$42,$AA$48,$AA$54,$AA$60,$AA$66,$AA$72:$AA$79))*Parameters!$B$37/12</f>
        <v>49993.33333333334</v>
      </c>
      <c r="S81" s="46">
        <f>(SUM($AA$18:$AA$29)-SUM($AA$36,$AA$42,$AA$48,$AA$54,$AA$60,$AA$66,$AA$72:$AA$79))*Parameters!$B$37/12</f>
        <v>49993.33333333334</v>
      </c>
      <c r="T81" s="46">
        <f>(SUM($AA$18:$AA$29)-SUM($AA$36,$AA$42,$AA$48,$AA$54,$AA$60,$AA$66,$AA$72:$AA$79))*Parameters!$B$37/12</f>
        <v>49993.33333333334</v>
      </c>
      <c r="U81" s="46">
        <f>(SUM($AA$18:$AA$29)-SUM($AA$36,$AA$42,$AA$48,$AA$54,$AA$60,$AA$66,$AA$72:$AA$79))*Parameters!$B$37/12</f>
        <v>49993.33333333334</v>
      </c>
      <c r="V81" s="46">
        <f>(SUM($AA$18:$AA$29)-SUM($AA$36,$AA$42,$AA$48,$AA$54,$AA$60,$AA$66,$AA$72:$AA$79))*Parameters!$B$37/12</f>
        <v>49993.33333333334</v>
      </c>
      <c r="W81" s="46">
        <f>(SUM($AA$18:$AA$29)-SUM($AA$36,$AA$42,$AA$48,$AA$54,$AA$60,$AA$66,$AA$72:$AA$79))*Parameters!$B$37/12</f>
        <v>49993.33333333334</v>
      </c>
      <c r="X81" s="46">
        <f>(SUM($AA$18:$AA$29)-SUM($AA$36,$AA$42,$AA$48,$AA$54,$AA$60,$AA$66,$AA$72:$AA$79))*Parameters!$B$37/12</f>
        <v>49993.33333333334</v>
      </c>
      <c r="Y81" s="46">
        <f>(SUM($AA$18:$AA$29)-SUM($AA$36,$AA$42,$AA$48,$AA$54,$AA$60,$AA$66,$AA$72:$AA$79))*Parameters!$B$37/12</f>
        <v>49993.33333333334</v>
      </c>
      <c r="Z81" s="46">
        <f>SUMIF($B$13:$Y$13,"Yes",B81:Y81)</f>
        <v>1199840</v>
      </c>
      <c r="AA81" s="46">
        <f>SUM(B81:M81)</f>
        <v>599920</v>
      </c>
      <c r="AB81" s="46">
        <f>SUM(B81:Y81)</f>
        <v>1199840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94010</v>
      </c>
      <c r="C88" s="19">
        <f>SUM(C72:C82,C66,C60,C54,C48,C42,C36)</f>
        <v>94010</v>
      </c>
      <c r="D88" s="19">
        <f>SUM(D72:D82,D66,D60,D54,D48,D42,D36)</f>
        <v>94010</v>
      </c>
      <c r="E88" s="19">
        <f>SUM(E72:E82,E66,E60,E54,E48,E42,E36)</f>
        <v>94010</v>
      </c>
      <c r="F88" s="19">
        <f>SUM(F72:F82,F66,F60,F54,F48,F42,F36)</f>
        <v>94010</v>
      </c>
      <c r="G88" s="19">
        <f>SUM(G72:G82,G66,G60,G54,G48,G42,G36)</f>
        <v>94010</v>
      </c>
      <c r="H88" s="19">
        <f>SUM(H72:H82,H66,H60,H54,H48,H42,H36)</f>
        <v>94010</v>
      </c>
      <c r="I88" s="19">
        <f>SUM(I72:I82,I66,I60,I54,I48,I42,I36)</f>
        <v>94010</v>
      </c>
      <c r="J88" s="19">
        <f>SUM(J72:J82,J66,J60,J54,J48,J42,J36)</f>
        <v>94010</v>
      </c>
      <c r="K88" s="19">
        <f>SUM(K72:K82,K66,K60,K54,K48,K42,K36)</f>
        <v>94010</v>
      </c>
      <c r="L88" s="19">
        <f>SUM(L72:L82,L66,L60,L54,L48,L42,L36)</f>
        <v>94010</v>
      </c>
      <c r="M88" s="19">
        <f>SUM(M72:M82,M66,M60,M54,M48,M42,M36)</f>
        <v>94010</v>
      </c>
      <c r="N88" s="19">
        <f>SUM(N72:N82,N66,N60,N54,N48,N42,N36)</f>
        <v>94010</v>
      </c>
      <c r="O88" s="19">
        <f>SUM(O72:O82,O66,O60,O54,O48,O42,O36)</f>
        <v>94010</v>
      </c>
      <c r="P88" s="19">
        <f>SUM(P72:P82,P66,P60,P54,P48,P42,P36)</f>
        <v>94010</v>
      </c>
      <c r="Q88" s="19">
        <f>SUM(Q72:Q82,Q66,Q60,Q54,Q48,Q42,Q36)</f>
        <v>94010</v>
      </c>
      <c r="R88" s="19">
        <f>SUM(R72:R82,R66,R60,R54,R48,R42,R36)</f>
        <v>94010</v>
      </c>
      <c r="S88" s="19">
        <f>SUM(S72:S82,S66,S60,S54,S48,S42,S36)</f>
        <v>94010</v>
      </c>
      <c r="T88" s="19">
        <f>SUM(T72:T82,T66,T60,T54,T48,T42,T36)</f>
        <v>94010</v>
      </c>
      <c r="U88" s="19">
        <f>SUM(U72:U82,U66,U60,U54,U48,U42,U36)</f>
        <v>94010</v>
      </c>
      <c r="V88" s="19">
        <f>SUM(V72:V82,V66,V60,V54,V48,V42,V36)</f>
        <v>94010</v>
      </c>
      <c r="W88" s="19">
        <f>SUM(W72:W82,W66,W60,W54,W48,W42,W36)</f>
        <v>94010</v>
      </c>
      <c r="X88" s="19">
        <f>SUM(X72:X82,X66,X60,X54,X48,X42,X36)</f>
        <v>94010</v>
      </c>
      <c r="Y88" s="19">
        <f>SUM(Y72:Y82,Y66,Y60,Y54,Y48,Y42,Y36)</f>
        <v>94010</v>
      </c>
      <c r="Z88" s="19">
        <f>SUMIF($B$13:$Y$13,"Yes",B88:Y88)</f>
        <v>2256240</v>
      </c>
      <c r="AA88" s="19">
        <f>SUM(B88:M88)</f>
        <v>1128120</v>
      </c>
      <c r="AB88" s="19">
        <f>SUM(B88:Y88)</f>
        <v>2256240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25000</v>
      </c>
    </row>
    <row r="95" spans="1:30">
      <c r="A95" t="s">
        <v>61</v>
      </c>
      <c r="B95" s="36">
        <f>Inputs!B47</f>
        <v>250000</v>
      </c>
    </row>
    <row r="96" spans="1:30">
      <c r="A96" t="s">
        <v>62</v>
      </c>
      <c r="B96" s="36">
        <f>SUMPRODUCT(Inputs!C19:C21,Calculations!O14:O16)</f>
        <v>100000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1200000</v>
      </c>
    </row>
    <row r="99" spans="1:30">
      <c r="A99" t="s">
        <v>65</v>
      </c>
      <c r="B99" s="36">
        <f>Inputs!B46</f>
        <v>350000</v>
      </c>
    </row>
    <row r="100" spans="1:30" customHeight="1" ht="15.75">
      <c r="A100" s="18" t="s">
        <v>66</v>
      </c>
      <c r="B100" s="37">
        <f>Inputs!B48</f>
        <v>1800000</v>
      </c>
    </row>
    <row r="101" spans="1:30" customHeight="1" ht="15.75">
      <c r="A101" s="1" t="s">
        <v>67</v>
      </c>
      <c r="B101" s="19">
        <f>SUM(B94:B100)</f>
        <v>3725000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250000</v>
      </c>
    </row>
    <row r="107" spans="1:30" customHeight="1" ht="15.75">
      <c r="A107" s="1" t="s">
        <v>72</v>
      </c>
      <c r="B107" s="19">
        <f>SUM(B104:B106)</f>
        <v>250000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/>
      <c r="B7" s="20"/>
      <c r="C7" s="142"/>
      <c r="D7" s="20"/>
      <c r="E7" s="145"/>
      <c r="F7" s="146"/>
      <c r="G7" s="145"/>
      <c r="H7" s="145"/>
      <c r="I7" s="147"/>
      <c r="J7" s="148"/>
      <c r="K7" s="137"/>
      <c r="L7" s="20"/>
      <c r="M7" s="163"/>
      <c r="N7" s="153"/>
      <c r="P7" s="41"/>
    </row>
    <row r="8" spans="1:48">
      <c r="A8" s="143"/>
      <c r="B8" s="16"/>
      <c r="C8" s="143"/>
      <c r="D8" s="16"/>
      <c r="E8" s="147"/>
      <c r="F8" s="149"/>
      <c r="G8" s="147"/>
      <c r="H8" s="147"/>
      <c r="I8" s="147"/>
      <c r="J8" s="148"/>
      <c r="K8" s="138"/>
      <c r="L8" s="16"/>
      <c r="M8" s="165"/>
      <c r="N8" s="154"/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89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90</v>
      </c>
      <c r="B18" s="10" t="s">
        <v>91</v>
      </c>
      <c r="C18" s="10" t="s">
        <v>92</v>
      </c>
      <c r="D18" s="10" t="s">
        <v>93</v>
      </c>
      <c r="E18" s="10" t="s">
        <v>94</v>
      </c>
      <c r="F18" s="10" t="s">
        <v>95</v>
      </c>
      <c r="G18" s="10" t="s">
        <v>96</v>
      </c>
      <c r="H18" s="10" t="s">
        <v>97</v>
      </c>
      <c r="I18" s="10" t="s">
        <v>98</v>
      </c>
      <c r="J18" s="10" t="s">
        <v>99</v>
      </c>
      <c r="K18" s="10" t="s">
        <v>100</v>
      </c>
      <c r="L18" s="10" t="s">
        <v>101</v>
      </c>
    </row>
    <row r="19" spans="1:48">
      <c r="A19" s="142" t="s">
        <v>102</v>
      </c>
      <c r="B19" s="20"/>
      <c r="C19" s="142">
        <v>400</v>
      </c>
      <c r="D19" s="145"/>
      <c r="E19" s="20"/>
      <c r="F19" s="145" t="s">
        <v>103</v>
      </c>
      <c r="G19" s="20"/>
      <c r="H19" s="20"/>
      <c r="I19" s="145" t="s">
        <v>104</v>
      </c>
      <c r="J19" s="145"/>
      <c r="K19" s="145"/>
      <c r="L19" s="25"/>
    </row>
    <row r="20" spans="1:48">
      <c r="A20" s="143" t="s">
        <v>102</v>
      </c>
      <c r="B20" s="16"/>
      <c r="C20" s="143">
        <v>0</v>
      </c>
      <c r="D20" s="147"/>
      <c r="E20" s="16"/>
      <c r="F20" s="147" t="s">
        <v>103</v>
      </c>
      <c r="G20" s="16"/>
      <c r="H20" s="16"/>
      <c r="I20" s="147" t="s">
        <v>105</v>
      </c>
      <c r="J20" s="147"/>
      <c r="K20" s="147"/>
      <c r="L20" s="30"/>
    </row>
    <row r="21" spans="1:48">
      <c r="A21" s="144" t="s">
        <v>102</v>
      </c>
      <c r="B21" s="23"/>
      <c r="C21" s="144">
        <v>0</v>
      </c>
      <c r="D21" s="150">
        <v>0</v>
      </c>
      <c r="E21" s="23"/>
      <c r="F21" s="150" t="s">
        <v>103</v>
      </c>
      <c r="G21" s="23"/>
      <c r="H21" s="23"/>
      <c r="I21" s="150" t="s">
        <v>104</v>
      </c>
      <c r="J21" s="150"/>
      <c r="K21" s="150"/>
      <c r="L21" s="31"/>
    </row>
    <row r="23" spans="1:48">
      <c r="A23" s="3" t="s">
        <v>106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107</v>
      </c>
      <c r="B25" s="177">
        <v>60</v>
      </c>
    </row>
    <row r="27" spans="1:48">
      <c r="A27" s="14" t="s">
        <v>108</v>
      </c>
    </row>
    <row r="29" spans="1:48">
      <c r="A29" s="45" t="s">
        <v>109</v>
      </c>
      <c r="B29" s="156" t="s">
        <v>110</v>
      </c>
    </row>
    <row r="30" spans="1:48">
      <c r="A30" s="44" t="s">
        <v>111</v>
      </c>
      <c r="B30" s="157">
        <v>85000</v>
      </c>
    </row>
    <row r="31" spans="1:48">
      <c r="A31" s="5" t="s">
        <v>112</v>
      </c>
      <c r="B31" s="158">
        <v>35000</v>
      </c>
    </row>
    <row r="33" spans="1:48">
      <c r="A33" s="14" t="s">
        <v>113</v>
      </c>
    </row>
    <row r="34" spans="1:48">
      <c r="A34" s="10" t="s">
        <v>114</v>
      </c>
      <c r="B34" s="10" t="s">
        <v>115</v>
      </c>
      <c r="C34" s="10" t="s">
        <v>116</v>
      </c>
      <c r="D34" s="48" t="s">
        <v>117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118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119</v>
      </c>
      <c r="B40" s="160" t="s">
        <v>103</v>
      </c>
    </row>
    <row r="41" spans="1:48">
      <c r="A41" s="55" t="s">
        <v>120</v>
      </c>
      <c r="B41" s="140"/>
    </row>
    <row r="42" spans="1:48">
      <c r="A42" s="55" t="s">
        <v>121</v>
      </c>
      <c r="B42" s="139"/>
    </row>
    <row r="43" spans="1:48">
      <c r="A43" s="55" t="s">
        <v>122</v>
      </c>
      <c r="B43" s="160" t="s">
        <v>123</v>
      </c>
    </row>
    <row r="44" spans="1:48">
      <c r="A44" s="56" t="s">
        <v>124</v>
      </c>
      <c r="B44" s="160" t="s">
        <v>103</v>
      </c>
    </row>
    <row r="45" spans="1:48">
      <c r="A45" s="56" t="s">
        <v>125</v>
      </c>
      <c r="B45" s="161">
        <v>1200000</v>
      </c>
    </row>
    <row r="46" spans="1:48" customHeight="1" ht="30">
      <c r="A46" s="57" t="s">
        <v>126</v>
      </c>
      <c r="B46" s="161">
        <v>350000</v>
      </c>
    </row>
    <row r="47" spans="1:48" customHeight="1" ht="30">
      <c r="A47" s="57" t="s">
        <v>127</v>
      </c>
      <c r="B47" s="161">
        <v>250000</v>
      </c>
    </row>
    <row r="48" spans="1:48" customHeight="1" ht="30">
      <c r="A48" s="57" t="s">
        <v>128</v>
      </c>
      <c r="B48" s="161">
        <v>1800000</v>
      </c>
    </row>
    <row r="49" spans="1:48" customHeight="1" ht="30">
      <c r="A49" s="57" t="s">
        <v>129</v>
      </c>
      <c r="B49" s="161">
        <v>25000</v>
      </c>
    </row>
    <row r="50" spans="1:48">
      <c r="A50" s="43"/>
      <c r="B50" s="36"/>
    </row>
    <row r="51" spans="1:48">
      <c r="A51" s="58" t="s">
        <v>130</v>
      </c>
      <c r="B51" s="161">
        <v>0</v>
      </c>
    </row>
    <row r="52" spans="1:48">
      <c r="A52" s="43"/>
    </row>
    <row r="53" spans="1:48">
      <c r="A53" s="3" t="s">
        <v>131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132</v>
      </c>
      <c r="B55" s="10" t="s">
        <v>133</v>
      </c>
      <c r="C55" s="10" t="s">
        <v>134</v>
      </c>
      <c r="D55" s="10" t="s">
        <v>135</v>
      </c>
      <c r="E55" s="10" t="s">
        <v>136</v>
      </c>
      <c r="F55" s="10" t="s">
        <v>137</v>
      </c>
    </row>
    <row r="56" spans="1:48">
      <c r="A56" s="159"/>
      <c r="B56" s="159"/>
      <c r="C56" s="162"/>
      <c r="D56" s="163"/>
      <c r="E56" s="163"/>
      <c r="F56" s="163"/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138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117</v>
      </c>
      <c r="B65" s="10" t="s">
        <v>139</v>
      </c>
      <c r="C65" s="10" t="s">
        <v>140</v>
      </c>
    </row>
    <row r="66" spans="1:48">
      <c r="A66" s="142" t="s">
        <v>141</v>
      </c>
      <c r="B66" s="159">
        <v>502767</v>
      </c>
      <c r="C66" s="163">
        <v>428351</v>
      </c>
      <c r="D66" s="49">
        <f>INDEX(Parameters!$D$79:$D$90,MATCH(Inputs!A66,Parameters!$C$79:$C$90,0))</f>
        <v>10</v>
      </c>
    </row>
    <row r="67" spans="1:48">
      <c r="A67" s="143" t="s">
        <v>142</v>
      </c>
      <c r="B67" s="157">
        <v>278999</v>
      </c>
      <c r="C67" s="165">
        <v>138793</v>
      </c>
      <c r="D67" s="49">
        <f>INDEX(Parameters!$D$79:$D$90,MATCH(Inputs!A67,Parameters!$C$79:$C$90,0))</f>
        <v>9</v>
      </c>
    </row>
    <row r="68" spans="1:48">
      <c r="A68" s="143" t="s">
        <v>143</v>
      </c>
      <c r="B68" s="157">
        <v>235130</v>
      </c>
      <c r="C68" s="165">
        <v>260544</v>
      </c>
      <c r="D68" s="49">
        <f>INDEX(Parameters!$D$79:$D$90,MATCH(Inputs!A68,Parameters!$C$79:$C$90,0))</f>
        <v>8</v>
      </c>
    </row>
    <row r="69" spans="1:48">
      <c r="A69" s="143" t="s">
        <v>144</v>
      </c>
      <c r="B69" s="157">
        <v>256670</v>
      </c>
      <c r="C69" s="165">
        <v>121544</v>
      </c>
      <c r="D69" s="49">
        <f>INDEX(Parameters!$D$79:$D$90,MATCH(Inputs!A69,Parameters!$C$79:$C$90,0))</f>
        <v>7</v>
      </c>
    </row>
    <row r="70" spans="1:48">
      <c r="A70" s="143" t="s">
        <v>145</v>
      </c>
      <c r="B70" s="157">
        <v>155707</v>
      </c>
      <c r="C70" s="165">
        <v>146780</v>
      </c>
      <c r="D70" s="49">
        <f>INDEX(Parameters!$D$79:$D$90,MATCH(Inputs!A70,Parameters!$C$79:$C$90,0))</f>
        <v>6</v>
      </c>
    </row>
    <row r="71" spans="1:48">
      <c r="A71" s="144" t="s">
        <v>146</v>
      </c>
      <c r="B71" s="158">
        <v>173510</v>
      </c>
      <c r="C71" s="167">
        <v>108004</v>
      </c>
      <c r="D71" s="49">
        <f>INDEX(Parameters!$D$79:$D$90,MATCH(Inputs!A71,Parameters!$C$79:$C$90,0))</f>
        <v>5</v>
      </c>
    </row>
    <row r="73" spans="1:48">
      <c r="A73" s="3" t="s">
        <v>147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148</v>
      </c>
      <c r="B75" s="161">
        <v>23</v>
      </c>
    </row>
    <row r="76" spans="1:48">
      <c r="A76" t="s">
        <v>149</v>
      </c>
      <c r="B76" s="168" t="s">
        <v>150</v>
      </c>
    </row>
    <row r="78" spans="1:48" customHeight="1" ht="20.25">
      <c r="B78" s="127" t="s">
        <v>151</v>
      </c>
    </row>
    <row r="79" spans="1:48">
      <c r="A79" t="s">
        <v>152</v>
      </c>
      <c r="B79" s="168" t="s">
        <v>150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153</v>
      </c>
      <c r="B80" s="168" t="s">
        <v>154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155</v>
      </c>
      <c r="B81" s="161">
        <v>250000</v>
      </c>
    </row>
    <row r="82" spans="1:48">
      <c r="A82" t="s">
        <v>156</v>
      </c>
      <c r="B82" s="161">
        <v>20</v>
      </c>
    </row>
    <row r="83" spans="1:48">
      <c r="A83" t="s">
        <v>157</v>
      </c>
      <c r="B83" s="169" t="s">
        <v>158</v>
      </c>
    </row>
    <row r="84" spans="1:48">
      <c r="A84" t="s">
        <v>159</v>
      </c>
      <c r="B84" s="169">
        <v>1</v>
      </c>
    </row>
    <row r="85" spans="1:48">
      <c r="A85" t="s">
        <v>160</v>
      </c>
      <c r="B85" s="169">
        <v>24</v>
      </c>
    </row>
    <row r="86" spans="1:48">
      <c r="A86" t="s">
        <v>161</v>
      </c>
      <c r="B86" s="161"/>
    </row>
    <row r="87" spans="1:48">
      <c r="A87" t="s">
        <v>162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163</v>
      </c>
      <c r="C3" s="15" t="s">
        <v>164</v>
      </c>
      <c r="D3" s="15" t="s">
        <v>165</v>
      </c>
      <c r="E3" s="15" t="s">
        <v>166</v>
      </c>
      <c r="F3" s="15" t="s">
        <v>167</v>
      </c>
      <c r="G3" s="15" t="s">
        <v>168</v>
      </c>
      <c r="H3" s="15" t="s">
        <v>169</v>
      </c>
      <c r="I3" s="15" t="s">
        <v>170</v>
      </c>
      <c r="J3" s="15" t="s">
        <v>171</v>
      </c>
      <c r="K3" s="15" t="s">
        <v>172</v>
      </c>
      <c r="L3" s="15" t="s">
        <v>173</v>
      </c>
      <c r="M3" s="15" t="s">
        <v>174</v>
      </c>
      <c r="N3" s="15" t="s">
        <v>175</v>
      </c>
      <c r="O3" s="15" t="s">
        <v>176</v>
      </c>
      <c r="P3" s="15" t="s">
        <v>177</v>
      </c>
      <c r="Q3" s="32" t="s">
        <v>178</v>
      </c>
      <c r="R3" s="15" t="s">
        <v>179</v>
      </c>
      <c r="S3" s="15" t="s">
        <v>180</v>
      </c>
      <c r="T3" s="15" t="s">
        <v>181</v>
      </c>
      <c r="U3" s="178" t="s">
        <v>87</v>
      </c>
      <c r="V3" s="32" t="s">
        <v>182</v>
      </c>
      <c r="W3" s="32" t="s">
        <v>183</v>
      </c>
      <c r="X3" s="32" t="s">
        <v>184</v>
      </c>
      <c r="Y3" s="32" t="s">
        <v>185</v>
      </c>
      <c r="Z3" s="32" t="s">
        <v>43</v>
      </c>
      <c r="AA3" s="32" t="s">
        <v>186</v>
      </c>
      <c r="AB3" s="32" t="s">
        <v>187</v>
      </c>
      <c r="AC3" s="59">
        <f>Output!B5</f>
        <v>43040</v>
      </c>
      <c r="AD3" s="59">
        <f>Output!C5</f>
        <v>43070</v>
      </c>
      <c r="AE3" s="59">
        <f>Output!D5</f>
        <v>43101</v>
      </c>
      <c r="AF3" s="59">
        <f>Output!E5</f>
        <v>43132</v>
      </c>
      <c r="AG3" s="59">
        <f>Output!F5</f>
        <v>43160</v>
      </c>
      <c r="AH3" s="59">
        <f>Output!G5</f>
        <v>43191</v>
      </c>
      <c r="AI3" s="59">
        <f>Output!H5</f>
        <v>43221</v>
      </c>
      <c r="AJ3" s="59">
        <f>Output!I5</f>
        <v>43252</v>
      </c>
      <c r="AK3" s="59">
        <f>Output!J5</f>
        <v>43282</v>
      </c>
      <c r="AL3" s="59">
        <f>Output!K5</f>
        <v>43313</v>
      </c>
      <c r="AM3" s="59">
        <f>Output!L5</f>
        <v>43344</v>
      </c>
      <c r="AN3" s="59">
        <f>Output!M5</f>
        <v>43374</v>
      </c>
      <c r="AO3" s="59">
        <f>Output!N5</f>
        <v>43405</v>
      </c>
      <c r="AP3" s="59">
        <f>Output!O5</f>
        <v>43435</v>
      </c>
      <c r="AQ3" s="59">
        <f>Output!P5</f>
        <v>43466</v>
      </c>
      <c r="AR3" s="59">
        <f>Output!Q5</f>
        <v>43497</v>
      </c>
      <c r="AS3" s="59">
        <f>Output!R5</f>
        <v>43525</v>
      </c>
      <c r="AT3" s="59">
        <f>Output!S5</f>
        <v>43556</v>
      </c>
      <c r="AU3" s="59">
        <f>Output!T5</f>
        <v>43586</v>
      </c>
      <c r="AV3" s="59">
        <f>Output!U5</f>
        <v>43617</v>
      </c>
      <c r="AW3" s="59">
        <f>Output!V5</f>
        <v>43647</v>
      </c>
      <c r="AX3" s="59">
        <f>Output!W5</f>
        <v>43678</v>
      </c>
      <c r="AY3" s="59">
        <f>Output!X5</f>
        <v>43709</v>
      </c>
      <c r="AZ3" s="59">
        <f>Output!Y5</f>
        <v>43739</v>
      </c>
    </row>
    <row r="4" spans="1:52" s="21" customFormat="1">
      <c r="A4" s="20">
        <f>Inputs!A7</f>
        <v/>
      </c>
      <c r="B4" s="38" t="str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/>
      </c>
      <c r="C4" s="38" t="str">
        <f>IFERROR(DATE(YEAR(B4),MONTH(B4)+ROUND(T4/2,0),DAY(B4)),B4)</f>
        <v/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/>
      </c>
      <c r="I4" s="137" t="str">
        <f>IFERROR(VLOOKUP(Inputs!E7,Parameters!$J$77:$K$81,2,0),"")</f>
        <v/>
      </c>
      <c r="J4" s="26" t="str">
        <f>IFERROR(Inputs!G7/Calculations!H4,"")</f>
        <v/>
      </c>
      <c r="K4" s="26" t="str">
        <f>IFERROR(INDEX(Parameters!$A$3:$V$17,MATCH(Calculations!$A4,Parameters!$A$3:$A$17,0),MATCH(Parameters!$I$3,Parameters!$A$3:$V$3,0)),0)</f>
        <v/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0</v>
      </c>
      <c r="M4" s="25">
        <f>L4*H4</f>
        <v>0</v>
      </c>
      <c r="N4" s="22">
        <f>Calculations!U4</f>
        <v>0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0</v>
      </c>
      <c r="P4" s="22" t="str">
        <f>IFERROR(INDEX(Parameters!$A$3:$V$17,MATCH(Calculations!$A4,Parameters!$A$3:$A$17,0),MATCH($P$3,Parameters!$A$3:$V$3,0)),0)</f>
        <v/>
      </c>
      <c r="Q4" s="33">
        <f>IFERROR(M4*O4*(1-N4)*MAX(S4,1),0)</f>
        <v>0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 t="str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/>
      </c>
      <c r="T4" s="25" t="str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/>
      </c>
      <c r="U4" s="60">
        <f>Inputs!M7/100</f>
        <v>0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 t="str">
        <f>H4*IFERROR(INDEX(Parameters!$A$3:$AI$17,MATCH(Calculations!A4,Parameters!$A$3:$A$17,0),MATCH(Parameters!$O$3,Parameters!$A$3:$AI$3,0)),AVERAGE(Parameters!$O$4:$O$17))*(1-Inputs!$B$25/100)</f>
        <v>0</v>
      </c>
      <c r="AC4" s="60">
        <f>IF($A4=0,1/12,IFERROR(INDEX(Parameters!$X$2:$AI$17,MATCH(Calculations!$A4,Parameters!$A$2:$A$17,0),MONTH(Calculations!AC$3)),1/12))</f>
        <v>11</v>
      </c>
      <c r="AD4" s="60">
        <f>IF($A4=0,1/12,IFERROR(INDEX(Parameters!$X$2:$AI$17,MATCH(Calculations!$A4,Parameters!$A$2:$A$17,0),MONTH(Calculations!AD$3)),1/12))</f>
        <v>12</v>
      </c>
      <c r="AE4" s="60">
        <f>IF($A4=0,1/12,IFERROR(INDEX(Parameters!$X$2:$AI$17,MATCH(Calculations!$A4,Parameters!$A$2:$A$17,0),MONTH(Calculations!AE$3)),1/12))</f>
        <v>1</v>
      </c>
      <c r="AF4" s="60">
        <f>IF($A4=0,1/12,IFERROR(INDEX(Parameters!$X$2:$AI$17,MATCH(Calculations!$A4,Parameters!$A$2:$A$17,0),MONTH(Calculations!AF$3)),1/12))</f>
        <v>2</v>
      </c>
      <c r="AG4" s="60">
        <f>IF($A4=0,1/12,IFERROR(INDEX(Parameters!$X$2:$AI$17,MATCH(Calculations!$A4,Parameters!$A$2:$A$17,0),MONTH(Calculations!AG$3)),1/12))</f>
        <v>3</v>
      </c>
      <c r="AH4" s="60">
        <f>IF($A4=0,1/12,IFERROR(INDEX(Parameters!$X$2:$AI$17,MATCH(Calculations!$A4,Parameters!$A$2:$A$17,0),MONTH(Calculations!AH$3)),1/12))</f>
        <v>4</v>
      </c>
      <c r="AI4" s="60">
        <f>IF($A4=0,1/12,IFERROR(INDEX(Parameters!$X$2:$AI$17,MATCH(Calculations!$A4,Parameters!$A$2:$A$17,0),MONTH(Calculations!AI$3)),1/12))</f>
        <v>5</v>
      </c>
      <c r="AJ4" s="60">
        <f>IF($A4=0,1/12,IFERROR(INDEX(Parameters!$X$2:$AI$17,MATCH(Calculations!$A4,Parameters!$A$2:$A$17,0),MONTH(Calculations!AJ$3)),1/12))</f>
        <v>6</v>
      </c>
      <c r="AK4" s="60">
        <f>IF($A4=0,1/12,IFERROR(INDEX(Parameters!$X$2:$AI$17,MATCH(Calculations!$A4,Parameters!$A$2:$A$17,0),MONTH(Calculations!AK$3)),1/12))</f>
        <v>7</v>
      </c>
      <c r="AL4" s="60">
        <f>IF($A4=0,1/12,IFERROR(INDEX(Parameters!$X$2:$AI$17,MATCH(Calculations!$A4,Parameters!$A$2:$A$17,0),MONTH(Calculations!AL$3)),1/12))</f>
        <v>8</v>
      </c>
      <c r="AM4" s="60">
        <f>IF($A4=0,1/12,IFERROR(INDEX(Parameters!$X$2:$AI$17,MATCH(Calculations!$A4,Parameters!$A$2:$A$17,0),MONTH(Calculations!AM$3)),1/12))</f>
        <v>9</v>
      </c>
      <c r="AN4" s="60">
        <f>IF($A4=0,1/12,IFERROR(INDEX(Parameters!$X$2:$AI$17,MATCH(Calculations!$A4,Parameters!$A$2:$A$17,0),MONTH(Calculations!AN$3)),1/12))</f>
        <v>10</v>
      </c>
      <c r="AO4" s="60">
        <f>IF($A4=0,1/12,IFERROR(INDEX(Parameters!$X$2:$AI$17,MATCH(Calculations!$A4,Parameters!$A$2:$A$17,0),MONTH(Calculations!AO$3)),1/12))</f>
        <v>11</v>
      </c>
      <c r="AP4" s="60">
        <f>IF($A4=0,1/12,IFERROR(INDEX(Parameters!$X$2:$AI$17,MATCH(Calculations!$A4,Parameters!$A$2:$A$17,0),MONTH(Calculations!AP$3)),1/12))</f>
        <v>12</v>
      </c>
      <c r="AQ4" s="60">
        <f>IF($A4=0,1/12,IFERROR(INDEX(Parameters!$X$2:$AI$17,MATCH(Calculations!$A4,Parameters!$A$2:$A$17,0),MONTH(Calculations!AQ$3)),1/12))</f>
        <v>1</v>
      </c>
      <c r="AR4" s="60">
        <f>IF($A4=0,1/12,IFERROR(INDEX(Parameters!$X$2:$AI$17,MATCH(Calculations!$A4,Parameters!$A$2:$A$17,0),MONTH(Calculations!AR$3)),1/12))</f>
        <v>2</v>
      </c>
      <c r="AS4" s="60">
        <f>IF($A4=0,1/12,IFERROR(INDEX(Parameters!$X$2:$AI$17,MATCH(Calculations!$A4,Parameters!$A$2:$A$17,0),MONTH(Calculations!AS$3)),1/12))</f>
        <v>3</v>
      </c>
      <c r="AT4" s="60">
        <f>IF($A4=0,1/12,IFERROR(INDEX(Parameters!$X$2:$AI$17,MATCH(Calculations!$A4,Parameters!$A$2:$A$17,0),MONTH(Calculations!AT$3)),1/12))</f>
        <v>4</v>
      </c>
      <c r="AU4" s="60">
        <f>IF($A4=0,1/12,IFERROR(INDEX(Parameters!$X$2:$AI$17,MATCH(Calculations!$A4,Parameters!$A$2:$A$17,0),MONTH(Calculations!AU$3)),1/12))</f>
        <v>5</v>
      </c>
      <c r="AV4" s="60">
        <f>IF($A4=0,1/12,IFERROR(INDEX(Parameters!$X$2:$AI$17,MATCH(Calculations!$A4,Parameters!$A$2:$A$17,0),MONTH(Calculations!AV$3)),1/12))</f>
        <v>6</v>
      </c>
      <c r="AW4" s="60">
        <f>IF($A4=0,1/12,IFERROR(INDEX(Parameters!$X$2:$AI$17,MATCH(Calculations!$A4,Parameters!$A$2:$A$17,0),MONTH(Calculations!AW$3)),1/12))</f>
        <v>7</v>
      </c>
      <c r="AX4" s="60">
        <f>IF($A4=0,1/12,IFERROR(INDEX(Parameters!$X$2:$AI$17,MATCH(Calculations!$A4,Parameters!$A$2:$A$17,0),MONTH(Calculations!AX$3)),1/12))</f>
        <v>8</v>
      </c>
      <c r="AY4" s="60">
        <f>IF($A4=0,1/12,IFERROR(INDEX(Parameters!$X$2:$AI$17,MATCH(Calculations!$A4,Parameters!$A$2:$A$17,0),MONTH(Calculations!AY$3)),1/12))</f>
        <v>9</v>
      </c>
      <c r="AZ4" s="60">
        <f>IF($A4=0,1/12,IFERROR(INDEX(Parameters!$X$2:$AI$17,MATCH(Calculations!$A4,Parameters!$A$2:$A$17,0),MONTH(Calculations!AZ$3)),1/12))</f>
        <v>10</v>
      </c>
    </row>
    <row r="5" spans="1:52" s="21" customFormat="1">
      <c r="A5" s="16">
        <f>Inputs!A8</f>
        <v/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8" t="str">
        <f>IFERROR(VLOOKUP(Inputs!E8,Parameters!$J$77:$K$81,2,0),"")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IF($A5=0,1/12,IFERROR(INDEX(Parameters!$X$2:$AI$17,MATCH(Calculations!$A5,Parameters!$A$2:$A$17,0),MONTH(Calculations!AC$3)),1/12))</f>
        <v>11</v>
      </c>
      <c r="AD5" s="22">
        <f>IF($A5=0,1/12,IFERROR(INDEX(Parameters!$X$2:$AI$17,MATCH(Calculations!$A5,Parameters!$A$2:$A$17,0),MONTH(Calculations!AD$3)),1/12))</f>
        <v>12</v>
      </c>
      <c r="AE5" s="22">
        <f>IF($A5=0,1/12,IFERROR(INDEX(Parameters!$X$2:$AI$17,MATCH(Calculations!$A5,Parameters!$A$2:$A$17,0),MONTH(Calculations!AE$3)),1/12))</f>
        <v>1</v>
      </c>
      <c r="AF5" s="22">
        <f>IF($A5=0,1/12,IFERROR(INDEX(Parameters!$X$2:$AI$17,MATCH(Calculations!$A5,Parameters!$A$2:$A$17,0),MONTH(Calculations!AF$3)),1/12))</f>
        <v>2</v>
      </c>
      <c r="AG5" s="22">
        <f>IF($A5=0,1/12,IFERROR(INDEX(Parameters!$X$2:$AI$17,MATCH(Calculations!$A5,Parameters!$A$2:$A$17,0),MONTH(Calculations!AG$3)),1/12))</f>
        <v>3</v>
      </c>
      <c r="AH5" s="22">
        <f>IF($A5=0,1/12,IFERROR(INDEX(Parameters!$X$2:$AI$17,MATCH(Calculations!$A5,Parameters!$A$2:$A$17,0),MONTH(Calculations!AH$3)),1/12))</f>
        <v>4</v>
      </c>
      <c r="AI5" s="22">
        <f>IF($A5=0,1/12,IFERROR(INDEX(Parameters!$X$2:$AI$17,MATCH(Calculations!$A5,Parameters!$A$2:$A$17,0),MONTH(Calculations!AI$3)),1/12))</f>
        <v>5</v>
      </c>
      <c r="AJ5" s="22">
        <f>IF($A5=0,1/12,IFERROR(INDEX(Parameters!$X$2:$AI$17,MATCH(Calculations!$A5,Parameters!$A$2:$A$17,0),MONTH(Calculations!AJ$3)),1/12))</f>
        <v>6</v>
      </c>
      <c r="AK5" s="22">
        <f>IF($A5=0,1/12,IFERROR(INDEX(Parameters!$X$2:$AI$17,MATCH(Calculations!$A5,Parameters!$A$2:$A$17,0),MONTH(Calculations!AK$3)),1/12))</f>
        <v>7</v>
      </c>
      <c r="AL5" s="22">
        <f>IF($A5=0,1/12,IFERROR(INDEX(Parameters!$X$2:$AI$17,MATCH(Calculations!$A5,Parameters!$A$2:$A$17,0),MONTH(Calculations!AL$3)),1/12))</f>
        <v>8</v>
      </c>
      <c r="AM5" s="22">
        <f>IF($A5=0,1/12,IFERROR(INDEX(Parameters!$X$2:$AI$17,MATCH(Calculations!$A5,Parameters!$A$2:$A$17,0),MONTH(Calculations!AM$3)),1/12))</f>
        <v>9</v>
      </c>
      <c r="AN5" s="22">
        <f>IF($A5=0,1/12,IFERROR(INDEX(Parameters!$X$2:$AI$17,MATCH(Calculations!$A5,Parameters!$A$2:$A$17,0),MONTH(Calculations!AN$3)),1/12))</f>
        <v>10</v>
      </c>
      <c r="AO5" s="22">
        <f>IF($A5=0,1/12,IFERROR(INDEX(Parameters!$X$2:$AI$17,MATCH(Calculations!$A5,Parameters!$A$2:$A$17,0),MONTH(Calculations!AO$3)),1/12))</f>
        <v>11</v>
      </c>
      <c r="AP5" s="22">
        <f>IF($A5=0,1/12,IFERROR(INDEX(Parameters!$X$2:$AI$17,MATCH(Calculations!$A5,Parameters!$A$2:$A$17,0),MONTH(Calculations!AP$3)),1/12))</f>
        <v>12</v>
      </c>
      <c r="AQ5" s="22">
        <f>IF($A5=0,1/12,IFERROR(INDEX(Parameters!$X$2:$AI$17,MATCH(Calculations!$A5,Parameters!$A$2:$A$17,0),MONTH(Calculations!AQ$3)),1/12))</f>
        <v>1</v>
      </c>
      <c r="AR5" s="22">
        <f>IF($A5=0,1/12,IFERROR(INDEX(Parameters!$X$2:$AI$17,MATCH(Calculations!$A5,Parameters!$A$2:$A$17,0),MONTH(Calculations!AR$3)),1/12))</f>
        <v>2</v>
      </c>
      <c r="AS5" s="22">
        <f>IF($A5=0,1/12,IFERROR(INDEX(Parameters!$X$2:$AI$17,MATCH(Calculations!$A5,Parameters!$A$2:$A$17,0),MONTH(Calculations!AS$3)),1/12))</f>
        <v>3</v>
      </c>
      <c r="AT5" s="22">
        <f>IF($A5=0,1/12,IFERROR(INDEX(Parameters!$X$2:$AI$17,MATCH(Calculations!$A5,Parameters!$A$2:$A$17,0),MONTH(Calculations!AT$3)),1/12))</f>
        <v>4</v>
      </c>
      <c r="AU5" s="22">
        <f>IF($A5=0,1/12,IFERROR(INDEX(Parameters!$X$2:$AI$17,MATCH(Calculations!$A5,Parameters!$A$2:$A$17,0),MONTH(Calculations!AU$3)),1/12))</f>
        <v>5</v>
      </c>
      <c r="AV5" s="22">
        <f>IF($A5=0,1/12,IFERROR(INDEX(Parameters!$X$2:$AI$17,MATCH(Calculations!$A5,Parameters!$A$2:$A$17,0),MONTH(Calculations!AV$3)),1/12))</f>
        <v>6</v>
      </c>
      <c r="AW5" s="22">
        <f>IF($A5=0,1/12,IFERROR(INDEX(Parameters!$X$2:$AI$17,MATCH(Calculations!$A5,Parameters!$A$2:$A$17,0),MONTH(Calculations!AW$3)),1/12))</f>
        <v>7</v>
      </c>
      <c r="AX5" s="22">
        <f>IF($A5=0,1/12,IFERROR(INDEX(Parameters!$X$2:$AI$17,MATCH(Calculations!$A5,Parameters!$A$2:$A$17,0),MONTH(Calculations!AX$3)),1/12))</f>
        <v>8</v>
      </c>
      <c r="AY5" s="22">
        <f>IF($A5=0,1/12,IFERROR(INDEX(Parameters!$X$2:$AI$17,MATCH(Calculations!$A5,Parameters!$A$2:$A$17,0),MONTH(Calculations!AY$3)),1/12))</f>
        <v>9</v>
      </c>
      <c r="AZ5" s="22">
        <f>IF($A5=0,1/12,IFERROR(INDEX(Parameters!$X$2:$AI$17,MATCH(Calculations!$A5,Parameters!$A$2:$A$17,0),MONTH(Calculations!AZ$3)),1/12))</f>
        <v>10</v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11</v>
      </c>
      <c r="AD6" s="22">
        <f>IF($A6=0,1/12,IFERROR(INDEX(Parameters!$X$2:$AI$17,MATCH(Calculations!$A6,Parameters!$A$2:$A$17,0),MONTH(Calculations!AD$3)),1/12))</f>
        <v>12</v>
      </c>
      <c r="AE6" s="22">
        <f>IF($A6=0,1/12,IFERROR(INDEX(Parameters!$X$2:$AI$17,MATCH(Calculations!$A6,Parameters!$A$2:$A$17,0),MONTH(Calculations!AE$3)),1/12))</f>
        <v>1</v>
      </c>
      <c r="AF6" s="22">
        <f>IF($A6=0,1/12,IFERROR(INDEX(Parameters!$X$2:$AI$17,MATCH(Calculations!$A6,Parameters!$A$2:$A$17,0),MONTH(Calculations!AF$3)),1/12))</f>
        <v>2</v>
      </c>
      <c r="AG6" s="22">
        <f>IF($A6=0,1/12,IFERROR(INDEX(Parameters!$X$2:$AI$17,MATCH(Calculations!$A6,Parameters!$A$2:$A$17,0),MONTH(Calculations!AG$3)),1/12))</f>
        <v>3</v>
      </c>
      <c r="AH6" s="22">
        <f>IF($A6=0,1/12,IFERROR(INDEX(Parameters!$X$2:$AI$17,MATCH(Calculations!$A6,Parameters!$A$2:$A$17,0),MONTH(Calculations!AH$3)),1/12))</f>
        <v>4</v>
      </c>
      <c r="AI6" s="22">
        <f>IF($A6=0,1/12,IFERROR(INDEX(Parameters!$X$2:$AI$17,MATCH(Calculations!$A6,Parameters!$A$2:$A$17,0),MONTH(Calculations!AI$3)),1/12))</f>
        <v>5</v>
      </c>
      <c r="AJ6" s="22">
        <f>IF($A6=0,1/12,IFERROR(INDEX(Parameters!$X$2:$AI$17,MATCH(Calculations!$A6,Parameters!$A$2:$A$17,0),MONTH(Calculations!AJ$3)),1/12))</f>
        <v>6</v>
      </c>
      <c r="AK6" s="22">
        <f>IF($A6=0,1/12,IFERROR(INDEX(Parameters!$X$2:$AI$17,MATCH(Calculations!$A6,Parameters!$A$2:$A$17,0),MONTH(Calculations!AK$3)),1/12))</f>
        <v>7</v>
      </c>
      <c r="AL6" s="22">
        <f>IF($A6=0,1/12,IFERROR(INDEX(Parameters!$X$2:$AI$17,MATCH(Calculations!$A6,Parameters!$A$2:$A$17,0),MONTH(Calculations!AL$3)),1/12))</f>
        <v>8</v>
      </c>
      <c r="AM6" s="22">
        <f>IF($A6=0,1/12,IFERROR(INDEX(Parameters!$X$2:$AI$17,MATCH(Calculations!$A6,Parameters!$A$2:$A$17,0),MONTH(Calculations!AM$3)),1/12))</f>
        <v>9</v>
      </c>
      <c r="AN6" s="22">
        <f>IF($A6=0,1/12,IFERROR(INDEX(Parameters!$X$2:$AI$17,MATCH(Calculations!$A6,Parameters!$A$2:$A$17,0),MONTH(Calculations!AN$3)),1/12))</f>
        <v>10</v>
      </c>
      <c r="AO6" s="22">
        <f>IF($A6=0,1/12,IFERROR(INDEX(Parameters!$X$2:$AI$17,MATCH(Calculations!$A6,Parameters!$A$2:$A$17,0),MONTH(Calculations!AO$3)),1/12))</f>
        <v>11</v>
      </c>
      <c r="AP6" s="22">
        <f>IF($A6=0,1/12,IFERROR(INDEX(Parameters!$X$2:$AI$17,MATCH(Calculations!$A6,Parameters!$A$2:$A$17,0),MONTH(Calculations!AP$3)),1/12))</f>
        <v>12</v>
      </c>
      <c r="AQ6" s="22">
        <f>IF($A6=0,1/12,IFERROR(INDEX(Parameters!$X$2:$AI$17,MATCH(Calculations!$A6,Parameters!$A$2:$A$17,0),MONTH(Calculations!AQ$3)),1/12))</f>
        <v>1</v>
      </c>
      <c r="AR6" s="22">
        <f>IF($A6=0,1/12,IFERROR(INDEX(Parameters!$X$2:$AI$17,MATCH(Calculations!$A6,Parameters!$A$2:$A$17,0),MONTH(Calculations!AR$3)),1/12))</f>
        <v>2</v>
      </c>
      <c r="AS6" s="22">
        <f>IF($A6=0,1/12,IFERROR(INDEX(Parameters!$X$2:$AI$17,MATCH(Calculations!$A6,Parameters!$A$2:$A$17,0),MONTH(Calculations!AS$3)),1/12))</f>
        <v>3</v>
      </c>
      <c r="AT6" s="22">
        <f>IF($A6=0,1/12,IFERROR(INDEX(Parameters!$X$2:$AI$17,MATCH(Calculations!$A6,Parameters!$A$2:$A$17,0),MONTH(Calculations!AT$3)),1/12))</f>
        <v>4</v>
      </c>
      <c r="AU6" s="22">
        <f>IF($A6=0,1/12,IFERROR(INDEX(Parameters!$X$2:$AI$17,MATCH(Calculations!$A6,Parameters!$A$2:$A$17,0),MONTH(Calculations!AU$3)),1/12))</f>
        <v>5</v>
      </c>
      <c r="AV6" s="22">
        <f>IF($A6=0,1/12,IFERROR(INDEX(Parameters!$X$2:$AI$17,MATCH(Calculations!$A6,Parameters!$A$2:$A$17,0),MONTH(Calculations!AV$3)),1/12))</f>
        <v>6</v>
      </c>
      <c r="AW6" s="22">
        <f>IF($A6=0,1/12,IFERROR(INDEX(Parameters!$X$2:$AI$17,MATCH(Calculations!$A6,Parameters!$A$2:$A$17,0),MONTH(Calculations!AW$3)),1/12))</f>
        <v>7</v>
      </c>
      <c r="AX6" s="22">
        <f>IF($A6=0,1/12,IFERROR(INDEX(Parameters!$X$2:$AI$17,MATCH(Calculations!$A6,Parameters!$A$2:$A$17,0),MONTH(Calculations!AX$3)),1/12))</f>
        <v>8</v>
      </c>
      <c r="AY6" s="22">
        <f>IF($A6=0,1/12,IFERROR(INDEX(Parameters!$X$2:$AI$17,MATCH(Calculations!$A6,Parameters!$A$2:$A$17,0),MONTH(Calculations!AY$3)),1/12))</f>
        <v>9</v>
      </c>
      <c r="AZ6" s="22">
        <f>IF($A6=0,1/12,IFERROR(INDEX(Parameters!$X$2:$AI$17,MATCH(Calculations!$A6,Parameters!$A$2:$A$17,0),MONTH(Calculations!AZ$3)),1/12))</f>
        <v>10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11</v>
      </c>
      <c r="AD7" s="22">
        <f>IF($A7=0,1/12,IFERROR(INDEX(Parameters!$X$2:$AI$17,MATCH(Calculations!$A7,Parameters!$A$2:$A$17,0),MONTH(Calculations!AD$3)),1/12))</f>
        <v>12</v>
      </c>
      <c r="AE7" s="22">
        <f>IF($A7=0,1/12,IFERROR(INDEX(Parameters!$X$2:$AI$17,MATCH(Calculations!$A7,Parameters!$A$2:$A$17,0),MONTH(Calculations!AE$3)),1/12))</f>
        <v>1</v>
      </c>
      <c r="AF7" s="22">
        <f>IF($A7=0,1/12,IFERROR(INDEX(Parameters!$X$2:$AI$17,MATCH(Calculations!$A7,Parameters!$A$2:$A$17,0),MONTH(Calculations!AF$3)),1/12))</f>
        <v>2</v>
      </c>
      <c r="AG7" s="22">
        <f>IF($A7=0,1/12,IFERROR(INDEX(Parameters!$X$2:$AI$17,MATCH(Calculations!$A7,Parameters!$A$2:$A$17,0),MONTH(Calculations!AG$3)),1/12))</f>
        <v>3</v>
      </c>
      <c r="AH7" s="22">
        <f>IF($A7=0,1/12,IFERROR(INDEX(Parameters!$X$2:$AI$17,MATCH(Calculations!$A7,Parameters!$A$2:$A$17,0),MONTH(Calculations!AH$3)),1/12))</f>
        <v>4</v>
      </c>
      <c r="AI7" s="22">
        <f>IF($A7=0,1/12,IFERROR(INDEX(Parameters!$X$2:$AI$17,MATCH(Calculations!$A7,Parameters!$A$2:$A$17,0),MONTH(Calculations!AI$3)),1/12))</f>
        <v>5</v>
      </c>
      <c r="AJ7" s="22">
        <f>IF($A7=0,1/12,IFERROR(INDEX(Parameters!$X$2:$AI$17,MATCH(Calculations!$A7,Parameters!$A$2:$A$17,0),MONTH(Calculations!AJ$3)),1/12))</f>
        <v>6</v>
      </c>
      <c r="AK7" s="22">
        <f>IF($A7=0,1/12,IFERROR(INDEX(Parameters!$X$2:$AI$17,MATCH(Calculations!$A7,Parameters!$A$2:$A$17,0),MONTH(Calculations!AK$3)),1/12))</f>
        <v>7</v>
      </c>
      <c r="AL7" s="22">
        <f>IF($A7=0,1/12,IFERROR(INDEX(Parameters!$X$2:$AI$17,MATCH(Calculations!$A7,Parameters!$A$2:$A$17,0),MONTH(Calculations!AL$3)),1/12))</f>
        <v>8</v>
      </c>
      <c r="AM7" s="22">
        <f>IF($A7=0,1/12,IFERROR(INDEX(Parameters!$X$2:$AI$17,MATCH(Calculations!$A7,Parameters!$A$2:$A$17,0),MONTH(Calculations!AM$3)),1/12))</f>
        <v>9</v>
      </c>
      <c r="AN7" s="22">
        <f>IF($A7=0,1/12,IFERROR(INDEX(Parameters!$X$2:$AI$17,MATCH(Calculations!$A7,Parameters!$A$2:$A$17,0),MONTH(Calculations!AN$3)),1/12))</f>
        <v>10</v>
      </c>
      <c r="AO7" s="22">
        <f>IF($A7=0,1/12,IFERROR(INDEX(Parameters!$X$2:$AI$17,MATCH(Calculations!$A7,Parameters!$A$2:$A$17,0),MONTH(Calculations!AO$3)),1/12))</f>
        <v>11</v>
      </c>
      <c r="AP7" s="22">
        <f>IF($A7=0,1/12,IFERROR(INDEX(Parameters!$X$2:$AI$17,MATCH(Calculations!$A7,Parameters!$A$2:$A$17,0),MONTH(Calculations!AP$3)),1/12))</f>
        <v>12</v>
      </c>
      <c r="AQ7" s="22">
        <f>IF($A7=0,1/12,IFERROR(INDEX(Parameters!$X$2:$AI$17,MATCH(Calculations!$A7,Parameters!$A$2:$A$17,0),MONTH(Calculations!AQ$3)),1/12))</f>
        <v>1</v>
      </c>
      <c r="AR7" s="22">
        <f>IF($A7=0,1/12,IFERROR(INDEX(Parameters!$X$2:$AI$17,MATCH(Calculations!$A7,Parameters!$A$2:$A$17,0),MONTH(Calculations!AR$3)),1/12))</f>
        <v>2</v>
      </c>
      <c r="AS7" s="22">
        <f>IF($A7=0,1/12,IFERROR(INDEX(Parameters!$X$2:$AI$17,MATCH(Calculations!$A7,Parameters!$A$2:$A$17,0),MONTH(Calculations!AS$3)),1/12))</f>
        <v>3</v>
      </c>
      <c r="AT7" s="22">
        <f>IF($A7=0,1/12,IFERROR(INDEX(Parameters!$X$2:$AI$17,MATCH(Calculations!$A7,Parameters!$A$2:$A$17,0),MONTH(Calculations!AT$3)),1/12))</f>
        <v>4</v>
      </c>
      <c r="AU7" s="22">
        <f>IF($A7=0,1/12,IFERROR(INDEX(Parameters!$X$2:$AI$17,MATCH(Calculations!$A7,Parameters!$A$2:$A$17,0),MONTH(Calculations!AU$3)),1/12))</f>
        <v>5</v>
      </c>
      <c r="AV7" s="22">
        <f>IF($A7=0,1/12,IFERROR(INDEX(Parameters!$X$2:$AI$17,MATCH(Calculations!$A7,Parameters!$A$2:$A$17,0),MONTH(Calculations!AV$3)),1/12))</f>
        <v>6</v>
      </c>
      <c r="AW7" s="22">
        <f>IF($A7=0,1/12,IFERROR(INDEX(Parameters!$X$2:$AI$17,MATCH(Calculations!$A7,Parameters!$A$2:$A$17,0),MONTH(Calculations!AW$3)),1/12))</f>
        <v>7</v>
      </c>
      <c r="AX7" s="22">
        <f>IF($A7=0,1/12,IFERROR(INDEX(Parameters!$X$2:$AI$17,MATCH(Calculations!$A7,Parameters!$A$2:$A$17,0),MONTH(Calculations!AX$3)),1/12))</f>
        <v>8</v>
      </c>
      <c r="AY7" s="22">
        <f>IF($A7=0,1/12,IFERROR(INDEX(Parameters!$X$2:$AI$17,MATCH(Calculations!$A7,Parameters!$A$2:$A$17,0),MONTH(Calculations!AY$3)),1/12))</f>
        <v>9</v>
      </c>
      <c r="AZ7" s="22">
        <f>IF($A7=0,1/12,IFERROR(INDEX(Parameters!$X$2:$AI$17,MATCH(Calculations!$A7,Parameters!$A$2:$A$17,0),MONTH(Calculations!AZ$3)),1/12))</f>
        <v>10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11</v>
      </c>
      <c r="AD8" s="24">
        <f>IF($A8=0,1/12,IFERROR(INDEX(Parameters!$X$2:$AI$17,MATCH(Calculations!$A8,Parameters!$A$2:$A$17,0),MONTH(Calculations!AD$3)),1/12))</f>
        <v>12</v>
      </c>
      <c r="AE8" s="24">
        <f>IF($A8=0,1/12,IFERROR(INDEX(Parameters!$X$2:$AI$17,MATCH(Calculations!$A8,Parameters!$A$2:$A$17,0),MONTH(Calculations!AE$3)),1/12))</f>
        <v>1</v>
      </c>
      <c r="AF8" s="24">
        <f>IF($A8=0,1/12,IFERROR(INDEX(Parameters!$X$2:$AI$17,MATCH(Calculations!$A8,Parameters!$A$2:$A$17,0),MONTH(Calculations!AF$3)),1/12))</f>
        <v>2</v>
      </c>
      <c r="AG8" s="24">
        <f>IF($A8=0,1/12,IFERROR(INDEX(Parameters!$X$2:$AI$17,MATCH(Calculations!$A8,Parameters!$A$2:$A$17,0),MONTH(Calculations!AG$3)),1/12))</f>
        <v>3</v>
      </c>
      <c r="AH8" s="24">
        <f>IF($A8=0,1/12,IFERROR(INDEX(Parameters!$X$2:$AI$17,MATCH(Calculations!$A8,Parameters!$A$2:$A$17,0),MONTH(Calculations!AH$3)),1/12))</f>
        <v>4</v>
      </c>
      <c r="AI8" s="24">
        <f>IF($A8=0,1/12,IFERROR(INDEX(Parameters!$X$2:$AI$17,MATCH(Calculations!$A8,Parameters!$A$2:$A$17,0),MONTH(Calculations!AI$3)),1/12))</f>
        <v>5</v>
      </c>
      <c r="AJ8" s="24">
        <f>IF($A8=0,1/12,IFERROR(INDEX(Parameters!$X$2:$AI$17,MATCH(Calculations!$A8,Parameters!$A$2:$A$17,0),MONTH(Calculations!AJ$3)),1/12))</f>
        <v>6</v>
      </c>
      <c r="AK8" s="24">
        <f>IF($A8=0,1/12,IFERROR(INDEX(Parameters!$X$2:$AI$17,MATCH(Calculations!$A8,Parameters!$A$2:$A$17,0),MONTH(Calculations!AK$3)),1/12))</f>
        <v>7</v>
      </c>
      <c r="AL8" s="24">
        <f>IF($A8=0,1/12,IFERROR(INDEX(Parameters!$X$2:$AI$17,MATCH(Calculations!$A8,Parameters!$A$2:$A$17,0),MONTH(Calculations!AL$3)),1/12))</f>
        <v>8</v>
      </c>
      <c r="AM8" s="24">
        <f>IF($A8=0,1/12,IFERROR(INDEX(Parameters!$X$2:$AI$17,MATCH(Calculations!$A8,Parameters!$A$2:$A$17,0),MONTH(Calculations!AM$3)),1/12))</f>
        <v>9</v>
      </c>
      <c r="AN8" s="24">
        <f>IF($A8=0,1/12,IFERROR(INDEX(Parameters!$X$2:$AI$17,MATCH(Calculations!$A8,Parameters!$A$2:$A$17,0),MONTH(Calculations!AN$3)),1/12))</f>
        <v>10</v>
      </c>
      <c r="AO8" s="24">
        <f>IF($A8=0,1/12,IFERROR(INDEX(Parameters!$X$2:$AI$17,MATCH(Calculations!$A8,Parameters!$A$2:$A$17,0),MONTH(Calculations!AO$3)),1/12))</f>
        <v>11</v>
      </c>
      <c r="AP8" s="24">
        <f>IF($A8=0,1/12,IFERROR(INDEX(Parameters!$X$2:$AI$17,MATCH(Calculations!$A8,Parameters!$A$2:$A$17,0),MONTH(Calculations!AP$3)),1/12))</f>
        <v>12</v>
      </c>
      <c r="AQ8" s="24">
        <f>IF($A8=0,1/12,IFERROR(INDEX(Parameters!$X$2:$AI$17,MATCH(Calculations!$A8,Parameters!$A$2:$A$17,0),MONTH(Calculations!AQ$3)),1/12))</f>
        <v>1</v>
      </c>
      <c r="AR8" s="24">
        <f>IF($A8=0,1/12,IFERROR(INDEX(Parameters!$X$2:$AI$17,MATCH(Calculations!$A8,Parameters!$A$2:$A$17,0),MONTH(Calculations!AR$3)),1/12))</f>
        <v>2</v>
      </c>
      <c r="AS8" s="24">
        <f>IF($A8=0,1/12,IFERROR(INDEX(Parameters!$X$2:$AI$17,MATCH(Calculations!$A8,Parameters!$A$2:$A$17,0),MONTH(Calculations!AS$3)),1/12))</f>
        <v>3</v>
      </c>
      <c r="AT8" s="24">
        <f>IF($A8=0,1/12,IFERROR(INDEX(Parameters!$X$2:$AI$17,MATCH(Calculations!$A8,Parameters!$A$2:$A$17,0),MONTH(Calculations!AT$3)),1/12))</f>
        <v>4</v>
      </c>
      <c r="AU8" s="24">
        <f>IF($A8=0,1/12,IFERROR(INDEX(Parameters!$X$2:$AI$17,MATCH(Calculations!$A8,Parameters!$A$2:$A$17,0),MONTH(Calculations!AU$3)),1/12))</f>
        <v>5</v>
      </c>
      <c r="AV8" s="24">
        <f>IF($A8=0,1/12,IFERROR(INDEX(Parameters!$X$2:$AI$17,MATCH(Calculations!$A8,Parameters!$A$2:$A$17,0),MONTH(Calculations!AV$3)),1/12))</f>
        <v>6</v>
      </c>
      <c r="AW8" s="24">
        <f>IF($A8=0,1/12,IFERROR(INDEX(Parameters!$X$2:$AI$17,MATCH(Calculations!$A8,Parameters!$A$2:$A$17,0),MONTH(Calculations!AW$3)),1/12))</f>
        <v>7</v>
      </c>
      <c r="AX8" s="24">
        <f>IF($A8=0,1/12,IFERROR(INDEX(Parameters!$X$2:$AI$17,MATCH(Calculations!$A8,Parameters!$A$2:$A$17,0),MONTH(Calculations!AX$3)),1/12))</f>
        <v>8</v>
      </c>
      <c r="AY8" s="24">
        <f>IF($A8=0,1/12,IFERROR(INDEX(Parameters!$X$2:$AI$17,MATCH(Calculations!$A8,Parameters!$A$2:$A$17,0),MONTH(Calculations!AY$3)),1/12))</f>
        <v>9</v>
      </c>
      <c r="AZ8" s="24">
        <f>IF($A8=0,1/12,IFERROR(INDEX(Parameters!$X$2:$AI$17,MATCH(Calculations!$A8,Parameters!$A$2:$A$17,0),MONTH(Calculations!AZ$3)),1/12))</f>
        <v>10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90</v>
      </c>
      <c r="B13" s="15" t="s">
        <v>35</v>
      </c>
      <c r="C13" s="15" t="s">
        <v>188</v>
      </c>
      <c r="D13" s="15" t="s">
        <v>189</v>
      </c>
      <c r="E13" s="15" t="s">
        <v>190</v>
      </c>
      <c r="F13" s="15" t="s">
        <v>191</v>
      </c>
      <c r="G13" s="15" t="s">
        <v>192</v>
      </c>
      <c r="H13" s="15" t="s">
        <v>193</v>
      </c>
      <c r="I13" s="15" t="s">
        <v>194</v>
      </c>
      <c r="J13" s="15" t="s">
        <v>195</v>
      </c>
      <c r="K13" s="15" t="s">
        <v>196</v>
      </c>
      <c r="L13" s="15" t="s">
        <v>197</v>
      </c>
      <c r="M13" s="178" t="s">
        <v>198</v>
      </c>
      <c r="N13" s="178" t="s">
        <v>199</v>
      </c>
      <c r="O13" s="62" t="s">
        <v>200</v>
      </c>
      <c r="P13" s="62" t="s">
        <v>201</v>
      </c>
      <c r="Q13" s="62" t="s">
        <v>202</v>
      </c>
      <c r="R13" s="62" t="s">
        <v>203</v>
      </c>
      <c r="S13" s="62" t="s">
        <v>204</v>
      </c>
    </row>
    <row r="14" spans="1:52">
      <c r="A14" s="20" t="str">
        <f>Inputs!A19</f>
        <v>Chicken_broilers</v>
      </c>
      <c r="B14" s="20" t="str">
        <f>IFERROR(VLOOKUP(A14,Parameters!$A$23:$B$30,2,0),"")</f>
        <v>meat</v>
      </c>
      <c r="C14" s="20" t="str">
        <f>IF(Inputs!A19=Parameters!$A$30,Inputs!B19,A14&amp;": "&amp;B14)</f>
        <v>Chicken_broilers: meat</v>
      </c>
      <c r="D14" s="16">
        <f>Inputs!C19</f>
        <v>400</v>
      </c>
      <c r="E14" s="16">
        <f>Inputs!D19</f>
        <v/>
      </c>
      <c r="F14">
        <f>IFERROR(INDEX(Parameters!$A$22:$P$29,MATCH(Calculations!$A14,Parameters!$A$22:$A$29,0),MATCH(Parameters!$P$22,Parameters!$A$22:$P$22,0)),"")</f>
        <v>1.5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1.26</v>
      </c>
      <c r="H14" s="121">
        <f>IFERROR(IF(B14="meat",INDEX(Parameters!$A$22:$P$29,MATCH(Calculations!A14,Parameters!$A$22:$A$29,0),MATCH(Parameters!$I$22,Parameters!$A$22:$P$22,0))*G14,""),"")</f>
        <v>1.26</v>
      </c>
      <c r="I14" s="25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>250</v>
      </c>
      <c r="J14" s="125" t="str">
        <f>IF(B14&lt;&gt;"meat",IFERROR(INDEX(Parameters!$A$22:$P$29,MATCH(Calculations!A14,Parameters!$A$22:$A$29,0),MATCH(Parameters!$D$22,Parameters!$A$22:$P$22,0))*Calculations!G14,""),"")</f>
        <v/>
      </c>
      <c r="K14" s="27" t="str">
        <f>IFERROR(INDEX(Parameters!$A$22:$P$29,MATCH(Calculations!$A14,Parameters!$A$22:$A$29,0),MATCH(Parameters!$H$22,Parameters!$A$22:$P$22,0)),"")</f>
        <v>N/A</v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250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1008000</v>
      </c>
      <c r="Q14" s="63">
        <f>IFERROR(D14*INDEX(Parameters!$A$22:$P$29,MATCH(Calculations!$A14,Parameters!$A$22:$A$29,0),MATCH(Parameters!$L$22,Parameters!$A$22:$P$22,0))*IF(Inputs!I19="Always",1,IF(Inputs!I19="Sometimes",0.5,0))*365,"")</f>
        <v>73000</v>
      </c>
      <c r="R14" s="63">
        <f>IFERROR(D14*INDEX(Parameters!$A$22:$P$29,MATCH(Calculations!$A14,Parameters!$A$22:$A$29,0),MATCH(Parameters!$M$22,Parameters!$A$22:$P$22,0)),"")</f>
        <v>19200</v>
      </c>
      <c r="S14" s="63">
        <f>IFERROR(D14*INDEX(Parameters!$A$22:$P$29,MATCH(Calculations!$A14,Parameters!$A$22:$A$29,0),MATCH(Parameters!$N$22,Parameters!$A$22:$P$22,0)),"")</f>
        <v>16000</v>
      </c>
    </row>
    <row r="15" spans="1:52">
      <c r="A15" s="16" t="str">
        <f>Inputs!A20</f>
        <v>Chicken_broilers</v>
      </c>
      <c r="B15" s="16" t="str">
        <f>IFERROR(VLOOKUP(A15,Parameters!$A$23:$B$30,2,0),"")</f>
        <v>meat</v>
      </c>
      <c r="C15" s="16" t="str">
        <f>IF(Inputs!A20=Parameters!$A$30,Inputs!B20,A15&amp;": "&amp;B15)</f>
        <v>Chicken_broilers: meat</v>
      </c>
      <c r="D15" s="16">
        <f>Inputs!C20</f>
        <v>0</v>
      </c>
      <c r="E15" s="16">
        <f>Inputs!D20</f>
        <v/>
      </c>
      <c r="F15">
        <f>IFERROR(INDEX(Parameters!$A$22:$P$29,MATCH(Calculations!$A15,Parameters!$A$22:$A$29,0),MATCH(Parameters!$P$22,Parameters!$A$22:$P$22,0)),"")</f>
        <v>1.5</v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1.32</v>
      </c>
      <c r="H15" s="121">
        <f>IFERROR(IF(B15="meat",INDEX(Parameters!$A$22:$P$29,MATCH(Calculations!A15,Parameters!$A$22:$A$29,0),MATCH(Parameters!$I$22,Parameters!$A$22:$P$22,0))*G15,""),"")</f>
        <v>1.32</v>
      </c>
      <c r="I15" s="30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>250</v>
      </c>
      <c r="J15" s="124" t="str">
        <f>IF(B15&lt;&gt;"meat",IFERROR(INDEX(Parameters!$A$22:$P$29,MATCH(Calculations!A15,Parameters!$A$22:$A$29,0),MATCH(Parameters!$D$22,Parameters!$A$22:$P$22,0))*Calculations!G15,""),"")</f>
        <v/>
      </c>
      <c r="K15" s="46" t="str">
        <f>IFERROR(INDEX(Parameters!$A$22:$P$29,MATCH(Calculations!$A15,Parameters!$A$22:$A$29,0),MATCH(Parameters!$H$22,Parameters!$A$22:$P$22,0)),"")</f>
        <v>N/A</v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250</v>
      </c>
      <c r="P15" s="64">
        <f>IF(A15=Parameters!$A$30,Inputs!E20*Inputs!G20*(1-Calculations!N15),IFERROR(IFERROR(D15*Calculations!I15*H15*12/Calculations!F15*(1-Calculations!N15),E15*Calculations!J15*Calculations!K15*365*(1-Calculations!M15)),""))</f>
        <v>0</v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 t="str">
        <f>Inputs!A21</f>
        <v>Chicken_broilers</v>
      </c>
      <c r="B16" s="16" t="str">
        <f>IFERROR(VLOOKUP(A16,Parameters!$A$23:$B$30,2,0),"")</f>
        <v>meat</v>
      </c>
      <c r="C16" s="16" t="str">
        <f>IF(Inputs!A21=Parameters!$A$30,Inputs!B21,A16&amp;": "&amp;B16)</f>
        <v>Chicken_broilers: meat</v>
      </c>
      <c r="D16" s="16">
        <f>Inputs!C21</f>
        <v>0</v>
      </c>
      <c r="E16" s="16">
        <f>Inputs!D21</f>
        <v>0</v>
      </c>
      <c r="F16" s="43">
        <f>IFERROR(INDEX(Parameters!$A$22:$P$29,MATCH(Calculations!$A16,Parameters!$A$22:$A$29,0),MATCH(Parameters!$P$22,Parameters!$A$22:$P$22,0)),"")</f>
        <v>1.5</v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1.26</v>
      </c>
      <c r="H16" s="122">
        <f>IFERROR(IF(B16="meat",INDEX(Parameters!$A$22:$P$29,MATCH(Calculations!A16,Parameters!$A$22:$A$29,0),MATCH(Parameters!$I$22,Parameters!$A$22:$P$22,0))*G16,""),"")</f>
        <v>1.26</v>
      </c>
      <c r="I16" s="30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>250</v>
      </c>
      <c r="J16" s="124" t="str">
        <f>IF(B16&lt;&gt;"meat",IFERROR(INDEX(Parameters!$A$22:$P$29,MATCH(Calculations!A16,Parameters!$A$22:$A$29,0),MATCH(Parameters!$D$22,Parameters!$A$22:$P$22,0))*Calculations!G16,""),"")</f>
        <v/>
      </c>
      <c r="K16" s="46" t="str">
        <f>IFERROR(INDEX(Parameters!$A$22:$P$29,MATCH(Calculations!$A16,Parameters!$A$22:$A$29,0),MATCH(Parameters!$H$22,Parameters!$A$22:$P$22,0)),"")</f>
        <v>N/A</v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250</v>
      </c>
      <c r="P16" s="64">
        <f>IF(A16=Parameters!$A$30,Inputs!E21*Inputs!G21*(1-Calculations!N16),IFERROR(IFERROR(D16*Calculations!I16*H16*12/Calculations!F16*(1-Calculations!N16),E16*Calculations!J16*Calculations!K16*365*(1-Calculations!M16)),""))</f>
        <v>0</v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 t="str">
        <f>IFERROR(INDEX($A$14:$A$16,MATCH(Parameters!$B$23,Calculations!$B$14:$B$16,0)),"")</f>
        <v>Chicken_broilers</v>
      </c>
      <c r="B17" s="23" t="str">
        <f>IF(A17="","","meat")</f>
        <v>meat</v>
      </c>
      <c r="C17" s="23" t="str">
        <f>IF(A17="","","Chicken: sale of ex layers")</f>
        <v>Chicken: sale of ex layers</v>
      </c>
      <c r="D17" s="23">
        <f>IFERROR(INDEX($D$14:$D$16,MATCH(Parameters!$B$23,Calculations!$B$14:$B$16,0)),"")</f>
        <v>0</v>
      </c>
      <c r="E17" s="23"/>
      <c r="F17" s="6">
        <f>IFERROR(INDEX(Parameters!$A$22:$P$29,MATCH(Calculations!$A17,Parameters!$A$22:$A$29,0),MATCH(Parameters!$P$22,Parameters!$A$22:$P$22,0)),"")</f>
        <v>1.5</v>
      </c>
      <c r="G17" s="120">
        <f>IF(A17="","",INDEX(G14:G16,MATCH(Parameters!B23,B14:B16,0)))</f>
        <v>1.26</v>
      </c>
      <c r="H17" s="123">
        <f>IFERROR(IF(B17="meat",INDEX(Parameters!$A$22:$P$29,MATCH(Calculations!A17,Parameters!$A$22:$A$29,0),MATCH(Parameters!$I$22,Parameters!$A$22:$P$22,0))*G17,""),"")</f>
        <v>1.26</v>
      </c>
      <c r="I17" s="31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>450</v>
      </c>
      <c r="J17" s="126"/>
      <c r="K17" s="61"/>
      <c r="L17" s="172">
        <f>IF(A17="","",DATE(YEAR(Inputs!$B$76),MONTH(Inputs!$B$76)+Parameters!O23-INDEX(Inputs!$L$19:$L$21,MATCH(Parameters!$A$23,Inputs!$A$19:$A$21,0)),1))</f>
        <v>43586</v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132</v>
      </c>
      <c r="B22" s="74" t="s">
        <v>205</v>
      </c>
      <c r="C22" s="74" t="s">
        <v>206</v>
      </c>
      <c r="D22" s="74" t="s">
        <v>207</v>
      </c>
      <c r="E22" s="74" t="s">
        <v>208</v>
      </c>
    </row>
    <row r="23" spans="1:52">
      <c r="A23" s="75">
        <f>Inputs!A56</f>
        <v/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209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210</v>
      </c>
      <c r="B32" s="129" t="s">
        <v>211</v>
      </c>
      <c r="C32" s="129" t="s">
        <v>212</v>
      </c>
      <c r="D32" s="129" t="s">
        <v>213</v>
      </c>
      <c r="F32" s="132" t="s">
        <v>214</v>
      </c>
      <c r="G32" s="132" t="s">
        <v>215</v>
      </c>
      <c r="I32" s="174" t="s">
        <v>216</v>
      </c>
      <c r="J32" s="175" t="str">
        <f>VLOOKUP(VALUE(Inputs!B75),Parameters!A54:B71,2,0)</f>
        <v>0</v>
      </c>
    </row>
    <row r="33" spans="1:52">
      <c r="A33">
        <v>1</v>
      </c>
      <c r="B33" s="128">
        <f>G34</f>
        <v>43078</v>
      </c>
      <c r="C33" s="27">
        <f>IF(B33&lt;&gt;"",IF(COUNT($A$33:A33)&lt;=$G$39,0,$G$41)+IF(COUNT($A$33:A33)&lt;=$G$40,0,$G$42),0)</f>
        <v>14583.33333333333</v>
      </c>
      <c r="D33" s="170">
        <f>IFERROR(DATE(YEAR(B33),MONTH(B33),1)," ")</f>
        <v>43070</v>
      </c>
      <c r="F33" t="s">
        <v>152</v>
      </c>
      <c r="G33" s="128">
        <f>IF(Inputs!B79="","",DATE(YEAR(Inputs!B79),MONTH(Inputs!B79),DAY(Inputs!B79)))</f>
        <v>43048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43109</v>
      </c>
      <c r="C34" s="27">
        <f>IF(B34&lt;&gt;"",IF(COUNT($A$33:A34)&lt;=$G$39,0,$G$41)+IF(COUNT($A$33:A34)&lt;=$G$40,0,$G$42),0)</f>
        <v>14583.33333333333</v>
      </c>
      <c r="D34" s="170">
        <f>IFERROR(DATE(YEAR(B34),MONTH(B34),1)," ")</f>
        <v>43101</v>
      </c>
      <c r="F34" t="s">
        <v>153</v>
      </c>
      <c r="G34" s="128">
        <f>IF(Inputs!B80="","",DATE(YEAR(Inputs!B80),MONTH(Inputs!B80),DAY(Inputs!B80)))</f>
        <v>43078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43140</v>
      </c>
      <c r="C35" s="27">
        <f>IF(B35&lt;&gt;"",IF(COUNT($A$33:A35)&lt;=$G$39,0,$G$41)+IF(COUNT($A$33:A35)&lt;=$G$40,0,$G$42),0)</f>
        <v>14583.33333333333</v>
      </c>
      <c r="D35" s="170">
        <f>IFERROR(DATE(YEAR(B35),MONTH(B35),1)," ")</f>
        <v>43132</v>
      </c>
      <c r="F35" t="s">
        <v>155</v>
      </c>
      <c r="G35" s="27">
        <f>Inputs!B81</f>
        <v>250000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43168</v>
      </c>
      <c r="C36" s="27">
        <f>IF(B36&lt;&gt;"",IF(COUNT($A$33:A36)&lt;=$G$39,0,$G$41)+IF(COUNT($A$33:A36)&lt;=$G$40,0,$G$42),0)</f>
        <v>14583.33333333333</v>
      </c>
      <c r="D36" s="170">
        <f>IFERROR(DATE(YEAR(B36),MONTH(B36),1)," ")</f>
        <v>43160</v>
      </c>
      <c r="F36" t="s">
        <v>156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43199</v>
      </c>
      <c r="C37" s="27">
        <f>IF(B37&lt;&gt;"",IF(COUNT($A$33:A37)&lt;=$G$39,0,$G$41)+IF(COUNT($A$33:A37)&lt;=$G$40,0,$G$42),0)</f>
        <v>14583.33333333333</v>
      </c>
      <c r="D37" s="170">
        <f>IFERROR(DATE(YEAR(B37),MONTH(B37),1)," ")</f>
        <v>43191</v>
      </c>
      <c r="F37" t="s">
        <v>217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43229</v>
      </c>
      <c r="C38" s="27">
        <f>IF(B38&lt;&gt;"",IF(COUNT($A$33:A38)&lt;=$G$39,0,$G$41)+IF(COUNT($A$33:A38)&lt;=$G$40,0,$G$42),0)</f>
        <v>14583.33333333333</v>
      </c>
      <c r="D38" s="170">
        <f>IFERROR(DATE(YEAR(B38),MONTH(B38),1)," ")</f>
        <v>43221</v>
      </c>
      <c r="F38" t="s">
        <v>218</v>
      </c>
      <c r="G38" s="27">
        <f>IFERROR(Inputs!B85/Inputs!B84,"")</f>
        <v>24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43260</v>
      </c>
      <c r="C39" s="27">
        <f>IF(B39&lt;&gt;"",IF(COUNT($A$33:A39)&lt;=$G$39,0,$G$41)+IF(COUNT($A$33:A39)&lt;=$G$40,0,$G$42),0)</f>
        <v>14583.33333333333</v>
      </c>
      <c r="D39" s="170">
        <f>IFERROR(DATE(YEAR(B39),MONTH(B39),1)," ")</f>
        <v>43252</v>
      </c>
      <c r="F39" t="s">
        <v>161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43290</v>
      </c>
      <c r="C40" s="27">
        <f>IF(B40&lt;&gt;"",IF(COUNT($A$33:A40)&lt;=$G$39,0,$G$41)+IF(COUNT($A$33:A40)&lt;=$G$40,0,$G$42),0)</f>
        <v>14583.33333333333</v>
      </c>
      <c r="D40" s="170">
        <f>IFERROR(DATE(YEAR(B40),MONTH(B40),1)," ")</f>
        <v>43282</v>
      </c>
      <c r="F40" t="s">
        <v>162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43321</v>
      </c>
      <c r="C41" s="27">
        <f>IF(B41&lt;&gt;"",IF(COUNT($A$33:A41)&lt;=$G$39,0,$G$41)+IF(COUNT($A$33:A41)&lt;=$G$40,0,$G$42),0)</f>
        <v>14583.33333333333</v>
      </c>
      <c r="D41" s="170">
        <f>IFERROR(DATE(YEAR(B41),MONTH(B41),1)," ")</f>
        <v>43313</v>
      </c>
      <c r="F41" t="s">
        <v>219</v>
      </c>
      <c r="G41" s="73">
        <f>IFERROR(G35/(G38-G39),"")</f>
        <v>10416.66666666667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43352</v>
      </c>
      <c r="C42" s="27">
        <f>IF(B42&lt;&gt;"",IF(COUNT($A$33:A42)&lt;=$G$39,0,$G$41)+IF(COUNT($A$33:A42)&lt;=$G$40,0,$G$42),0)</f>
        <v>14583.33333333333</v>
      </c>
      <c r="D42" s="170">
        <f>IFERROR(DATE(YEAR(B42),MONTH(B42),1)," ")</f>
        <v>43344</v>
      </c>
      <c r="F42" t="s">
        <v>220</v>
      </c>
      <c r="G42" s="73">
        <f>IFERROR(G35*G36*IF(G37="Monthly",G38/12,IF(G37="Fortnightly",G38/(365/14),G38/(365/28)))/(G38-G40),"")</f>
        <v>4166.666666666667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43382</v>
      </c>
      <c r="C43" s="27">
        <f>IF(B43&lt;&gt;"",IF(COUNT($A$33:A43)&lt;=$G$39,0,$G$41)+IF(COUNT($A$33:A43)&lt;=$G$40,0,$G$42),0)</f>
        <v>14583.33333333333</v>
      </c>
      <c r="D43" s="170">
        <f>IFERROR(DATE(YEAR(B43),MONTH(B43),1)," ")</f>
        <v>43374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43413</v>
      </c>
      <c r="C44" s="27">
        <f>IF(B44&lt;&gt;"",IF(COUNT($A$33:A44)&lt;=$G$39,0,$G$41)+IF(COUNT($A$33:A44)&lt;=$G$40,0,$G$42),0)</f>
        <v>14583.33333333333</v>
      </c>
      <c r="D44" s="170">
        <f>IFERROR(DATE(YEAR(B44),MONTH(B44),1)," ")</f>
        <v>43405</v>
      </c>
    </row>
    <row r="45" spans="1:52">
      <c r="A45">
        <f>A44+1</f>
        <v>13</v>
      </c>
      <c r="B45" s="128">
        <f>IFERROR(IF(COUNT($A$33:A45)&lt;=$G$38,IF($G$37="Monthly",DATE(YEAR(B44),MONTH(B44)+1,MIN(DAY(B44),28)),B44+14),""),"")</f>
        <v>43443</v>
      </c>
      <c r="C45" s="27">
        <f>IF(B45&lt;&gt;"",IF(COUNT($A$33:A45)&lt;=$G$39,0,$G$41)+IF(COUNT($A$33:A45)&lt;=$G$40,0,$G$42),0)</f>
        <v>14583.33333333333</v>
      </c>
      <c r="D45" s="170">
        <f>IFERROR(DATE(YEAR(B45),MONTH(B45),1)," ")</f>
        <v>43435</v>
      </c>
    </row>
    <row r="46" spans="1:52">
      <c r="A46">
        <f>A45+1</f>
        <v>14</v>
      </c>
      <c r="B46" s="128">
        <f>IFERROR(IF(COUNT($A$33:A46)&lt;=$G$38,IF($G$37="Monthly",DATE(YEAR(B45),MONTH(B45)+1,MIN(DAY(B45),28)),B45+14),""),"")</f>
        <v>43474</v>
      </c>
      <c r="C46" s="27">
        <f>IF(B46&lt;&gt;"",IF(COUNT($A$33:A46)&lt;=$G$39,0,$G$41)+IF(COUNT($A$33:A46)&lt;=$G$40,0,$G$42),0)</f>
        <v>14583.33333333333</v>
      </c>
      <c r="D46" s="170">
        <f>IFERROR(DATE(YEAR(B46),MONTH(B46),1)," ")</f>
        <v>43466</v>
      </c>
    </row>
    <row r="47" spans="1:52">
      <c r="A47">
        <f>A46+1</f>
        <v>15</v>
      </c>
      <c r="B47" s="128">
        <f>IFERROR(IF(COUNT($A$33:A47)&lt;=$G$38,IF($G$37="Monthly",DATE(YEAR(B46),MONTH(B46)+1,MIN(DAY(B46),28)),B46+14),""),"")</f>
        <v>43505</v>
      </c>
      <c r="C47" s="27">
        <f>IF(B47&lt;&gt;"",IF(COUNT($A$33:A47)&lt;=$G$39,0,$G$41)+IF(COUNT($A$33:A47)&lt;=$G$40,0,$G$42),0)</f>
        <v>14583.33333333333</v>
      </c>
      <c r="D47" s="170">
        <f>IFERROR(DATE(YEAR(B47),MONTH(B47),1)," ")</f>
        <v>43497</v>
      </c>
    </row>
    <row r="48" spans="1:52">
      <c r="A48">
        <f>A47+1</f>
        <v>16</v>
      </c>
      <c r="B48" s="128">
        <f>IFERROR(IF(COUNT($A$33:A48)&lt;=$G$38,IF($G$37="Monthly",DATE(YEAR(B47),MONTH(B47)+1,MIN(DAY(B47),28)),B47+14),""),"")</f>
        <v>43533</v>
      </c>
      <c r="C48" s="27">
        <f>IF(B48&lt;&gt;"",IF(COUNT($A$33:A48)&lt;=$G$39,0,$G$41)+IF(COUNT($A$33:A48)&lt;=$G$40,0,$G$42),0)</f>
        <v>14583.33333333333</v>
      </c>
      <c r="D48" s="170">
        <f>IFERROR(DATE(YEAR(B48),MONTH(B48),1)," ")</f>
        <v>43525</v>
      </c>
    </row>
    <row r="49" spans="1:52">
      <c r="A49">
        <f>A48+1</f>
        <v>17</v>
      </c>
      <c r="B49" s="128">
        <f>IFERROR(IF(COUNT($A$33:A49)&lt;=$G$38,IF($G$37="Monthly",DATE(YEAR(B48),MONTH(B48)+1,MIN(DAY(B48),28)),B48+14),""),"")</f>
        <v>43564</v>
      </c>
      <c r="C49" s="27">
        <f>IF(B49&lt;&gt;"",IF(COUNT($A$33:A49)&lt;=$G$39,0,$G$41)+IF(COUNT($A$33:A49)&lt;=$G$40,0,$G$42),0)</f>
        <v>14583.33333333333</v>
      </c>
      <c r="D49" s="170">
        <f>IFERROR(DATE(YEAR(B49),MONTH(B49),1)," ")</f>
        <v>43556</v>
      </c>
    </row>
    <row r="50" spans="1:52">
      <c r="A50">
        <f>A49+1</f>
        <v>18</v>
      </c>
      <c r="B50" s="128">
        <f>IFERROR(IF(COUNT($A$33:A50)&lt;=$G$38,IF($G$37="Monthly",DATE(YEAR(B49),MONTH(B49)+1,MIN(DAY(B49),28)),B49+14),""),"")</f>
        <v>43594</v>
      </c>
      <c r="C50" s="27">
        <f>IF(B50&lt;&gt;"",IF(COUNT($A$33:A50)&lt;=$G$39,0,$G$41)+IF(COUNT($A$33:A50)&lt;=$G$40,0,$G$42),0)</f>
        <v>14583.33333333333</v>
      </c>
      <c r="D50" s="170">
        <f>IFERROR(DATE(YEAR(B50),MONTH(B50),1)," ")</f>
        <v>43586</v>
      </c>
    </row>
    <row r="51" spans="1:52">
      <c r="A51">
        <f>A50+1</f>
        <v>19</v>
      </c>
      <c r="B51" s="128">
        <f>IFERROR(IF(COUNT($A$33:A51)&lt;=$G$38,IF($G$37="Monthly",DATE(YEAR(B50),MONTH(B50)+1,MIN(DAY(B50),28)),B50+14),""),"")</f>
        <v>43625</v>
      </c>
      <c r="C51" s="27">
        <f>IF(B51&lt;&gt;"",IF(COUNT($A$33:A51)&lt;=$G$39,0,$G$41)+IF(COUNT($A$33:A51)&lt;=$G$40,0,$G$42),0)</f>
        <v>14583.33333333333</v>
      </c>
      <c r="D51" s="170">
        <f>IFERROR(DATE(YEAR(B51),MONTH(B51),1)," ")</f>
        <v>43617</v>
      </c>
    </row>
    <row r="52" spans="1:52">
      <c r="A52">
        <f>A51+1</f>
        <v>20</v>
      </c>
      <c r="B52" s="128">
        <f>IFERROR(IF(COUNT($A$33:A52)&lt;=$G$38,IF($G$37="Monthly",DATE(YEAR(B51),MONTH(B51)+1,MIN(DAY(B51),28)),B51+14),""),"")</f>
        <v>43655</v>
      </c>
      <c r="C52" s="27">
        <f>IF(B52&lt;&gt;"",IF(COUNT($A$33:A52)&lt;=$G$39,0,$G$41)+IF(COUNT($A$33:A52)&lt;=$G$40,0,$G$42),0)</f>
        <v>14583.33333333333</v>
      </c>
      <c r="D52" s="170">
        <f>IFERROR(DATE(YEAR(B52),MONTH(B52),1)," ")</f>
        <v>43647</v>
      </c>
    </row>
    <row r="53" spans="1:52">
      <c r="A53">
        <f>A52+1</f>
        <v>21</v>
      </c>
      <c r="B53" s="128">
        <f>IFERROR(IF(COUNT($A$33:A53)&lt;=$G$38,IF($G$37="Monthly",DATE(YEAR(B52),MONTH(B52)+1,MIN(DAY(B52),28)),B52+14),""),"")</f>
        <v>43686</v>
      </c>
      <c r="C53" s="27">
        <f>IF(B53&lt;&gt;"",IF(COUNT($A$33:A53)&lt;=$G$39,0,$G$41)+IF(COUNT($A$33:A53)&lt;=$G$40,0,$G$42),0)</f>
        <v>14583.33333333333</v>
      </c>
      <c r="D53" s="170">
        <f>IFERROR(DATE(YEAR(B53),MONTH(B53),1)," ")</f>
        <v>43678</v>
      </c>
    </row>
    <row r="54" spans="1:52">
      <c r="A54">
        <f>A53+1</f>
        <v>22</v>
      </c>
      <c r="B54" s="128">
        <f>IFERROR(IF(COUNT($A$33:A54)&lt;=$G$38,IF($G$37="Monthly",DATE(YEAR(B53),MONTH(B53)+1,MIN(DAY(B53),28)),B53+14),""),"")</f>
        <v>43717</v>
      </c>
      <c r="C54" s="27">
        <f>IF(B54&lt;&gt;"",IF(COUNT($A$33:A54)&lt;=$G$39,0,$G$41)+IF(COUNT($A$33:A54)&lt;=$G$40,0,$G$42),0)</f>
        <v>14583.33333333333</v>
      </c>
      <c r="D54" s="170">
        <f>IFERROR(DATE(YEAR(B54),MONTH(B54),1)," ")</f>
        <v>43709</v>
      </c>
    </row>
    <row r="55" spans="1:52">
      <c r="A55">
        <f>A54+1</f>
        <v>23</v>
      </c>
      <c r="B55" s="128">
        <f>IFERROR(IF(COUNT($A$33:A55)&lt;=$G$38,IF($G$37="Monthly",DATE(YEAR(B54),MONTH(B54)+1,MIN(DAY(B54),28)),B54+14),""),"")</f>
        <v>43747</v>
      </c>
      <c r="C55" s="27">
        <f>IF(B55&lt;&gt;"",IF(COUNT($A$33:A55)&lt;=$G$39,0,$G$41)+IF(COUNT($A$33:A55)&lt;=$G$40,0,$G$42),0)</f>
        <v>14583.33333333333</v>
      </c>
      <c r="D55" s="170">
        <f>IFERROR(DATE(YEAR(B55),MONTH(B55),1)," ")</f>
        <v>43739</v>
      </c>
    </row>
    <row r="56" spans="1:52">
      <c r="A56">
        <f>A55+1</f>
        <v>24</v>
      </c>
      <c r="B56" s="128">
        <f>IFERROR(IF(COUNT($A$33:A56)&lt;=$G$38,IF($G$37="Monthly",DATE(YEAR(B55),MONTH(B55)+1,MIN(DAY(B55),28)),B55+14),""),"")</f>
        <v>43778</v>
      </c>
      <c r="C56" s="27">
        <f>IF(B56&lt;&gt;"",IF(COUNT($A$33:A56)&lt;=$G$39,0,$G$41)+IF(COUNT($A$33:A56)&lt;=$G$40,0,$G$42),0)</f>
        <v>14583.33333333333</v>
      </c>
      <c r="D56" s="170">
        <f>IFERROR(DATE(YEAR(B56),MONTH(B56),1)," ")</f>
        <v>43770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221</v>
      </c>
      <c r="C3" s="10" t="s">
        <v>222</v>
      </c>
      <c r="D3" s="10" t="s">
        <v>223</v>
      </c>
      <c r="E3" s="10" t="s">
        <v>224</v>
      </c>
      <c r="F3" s="10" t="s">
        <v>225</v>
      </c>
      <c r="G3" s="10" t="s">
        <v>226</v>
      </c>
      <c r="H3" s="10" t="s">
        <v>227</v>
      </c>
      <c r="I3" s="10" t="s">
        <v>228</v>
      </c>
      <c r="J3" s="10" t="s">
        <v>229</v>
      </c>
      <c r="K3" s="10" t="s">
        <v>230</v>
      </c>
      <c r="L3" s="10" t="s">
        <v>231</v>
      </c>
      <c r="M3" s="10" t="s">
        <v>232</v>
      </c>
      <c r="N3" s="10" t="s">
        <v>233</v>
      </c>
      <c r="O3" s="10" t="s">
        <v>234</v>
      </c>
      <c r="P3" s="10" t="s">
        <v>235</v>
      </c>
      <c r="Q3" s="10" t="s">
        <v>236</v>
      </c>
      <c r="R3" s="10" t="s">
        <v>237</v>
      </c>
      <c r="S3" s="10" t="s">
        <v>238</v>
      </c>
      <c r="T3" s="10" t="s">
        <v>239</v>
      </c>
      <c r="U3" s="10" t="s">
        <v>179</v>
      </c>
      <c r="V3" s="10" t="s">
        <v>177</v>
      </c>
      <c r="W3" s="10" t="s">
        <v>240</v>
      </c>
      <c r="X3" s="10" t="s">
        <v>241</v>
      </c>
      <c r="Y3" s="10" t="s">
        <v>242</v>
      </c>
      <c r="Z3" s="10" t="s">
        <v>243</v>
      </c>
      <c r="AA3" s="10" t="s">
        <v>244</v>
      </c>
      <c r="AB3" s="10" t="s">
        <v>245</v>
      </c>
      <c r="AC3" s="10" t="s">
        <v>246</v>
      </c>
      <c r="AD3" s="10" t="s">
        <v>247</v>
      </c>
      <c r="AE3" s="10" t="s">
        <v>248</v>
      </c>
      <c r="AF3" s="10" t="s">
        <v>249</v>
      </c>
      <c r="AG3" s="10" t="s">
        <v>250</v>
      </c>
      <c r="AH3" s="10" t="s">
        <v>251</v>
      </c>
      <c r="AI3" s="10" t="s">
        <v>252</v>
      </c>
    </row>
    <row r="4" spans="1:36" s="93" customFormat="1">
      <c r="A4" s="93" t="s">
        <v>253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254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255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256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257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258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257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259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257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260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261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262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255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255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263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257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264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255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255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265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257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266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257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267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261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268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255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255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269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257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270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257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271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90</v>
      </c>
      <c r="B22" s="8" t="s">
        <v>272</v>
      </c>
      <c r="C22" s="10" t="s">
        <v>273</v>
      </c>
      <c r="D22" s="10" t="s">
        <v>274</v>
      </c>
      <c r="E22" s="10" t="s">
        <v>275</v>
      </c>
      <c r="F22" s="10" t="s">
        <v>276</v>
      </c>
      <c r="G22" s="10" t="s">
        <v>277</v>
      </c>
      <c r="H22" s="10" t="s">
        <v>278</v>
      </c>
      <c r="I22" s="10" t="s">
        <v>193</v>
      </c>
      <c r="J22" s="10" t="s">
        <v>279</v>
      </c>
      <c r="K22" s="10" t="s">
        <v>280</v>
      </c>
      <c r="L22" s="10" t="s">
        <v>281</v>
      </c>
      <c r="M22" s="10" t="s">
        <v>282</v>
      </c>
      <c r="N22" s="10" t="s">
        <v>283</v>
      </c>
      <c r="O22" s="10" t="s">
        <v>284</v>
      </c>
      <c r="P22" s="10" t="s">
        <v>285</v>
      </c>
    </row>
    <row r="23" spans="1:36" s="21" customFormat="1">
      <c r="A23" s="21" t="s">
        <v>286</v>
      </c>
      <c r="B23" s="21" t="s">
        <v>287</v>
      </c>
      <c r="C23" s="72" t="s">
        <v>288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102</v>
      </c>
      <c r="B24" s="21" t="s">
        <v>289</v>
      </c>
      <c r="C24" s="116" t="s">
        <v>255</v>
      </c>
      <c r="D24" s="115" t="s">
        <v>255</v>
      </c>
      <c r="E24" s="106">
        <v>0.05</v>
      </c>
      <c r="F24" s="106">
        <v>0.1</v>
      </c>
      <c r="G24" s="106">
        <v>0.2</v>
      </c>
      <c r="H24" s="116" t="s">
        <v>255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290</v>
      </c>
      <c r="B25" s="16" t="s">
        <v>291</v>
      </c>
      <c r="C25" s="30" t="s">
        <v>292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255</v>
      </c>
      <c r="J25" s="72" t="s">
        <v>255</v>
      </c>
      <c r="K25" s="72" t="s">
        <v>255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293</v>
      </c>
      <c r="B26" s="16" t="s">
        <v>289</v>
      </c>
      <c r="C26" s="116" t="s">
        <v>255</v>
      </c>
      <c r="D26" s="115" t="s">
        <v>255</v>
      </c>
      <c r="E26" s="106">
        <v>0.2</v>
      </c>
      <c r="F26" s="106">
        <v>0.7</v>
      </c>
      <c r="G26" s="106">
        <v>2</v>
      </c>
      <c r="H26" s="116" t="s">
        <v>255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294</v>
      </c>
      <c r="B27" s="71" t="s">
        <v>289</v>
      </c>
      <c r="C27" s="116" t="s">
        <v>255</v>
      </c>
      <c r="D27" s="115" t="s">
        <v>255</v>
      </c>
      <c r="E27" s="106">
        <v>0.15</v>
      </c>
      <c r="F27" s="106">
        <v>0.25</v>
      </c>
      <c r="G27" s="106">
        <v>1</v>
      </c>
      <c r="H27" s="116" t="s">
        <v>255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295</v>
      </c>
      <c r="B28" s="71" t="s">
        <v>289</v>
      </c>
      <c r="C28" s="116" t="s">
        <v>255</v>
      </c>
      <c r="D28" s="115" t="s">
        <v>255</v>
      </c>
      <c r="E28" s="106">
        <v>0.15</v>
      </c>
      <c r="F28" s="106">
        <v>0.25</v>
      </c>
      <c r="G28" s="106">
        <v>1</v>
      </c>
      <c r="H28" s="116" t="s">
        <v>255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296</v>
      </c>
      <c r="B29" s="118" t="s">
        <v>289</v>
      </c>
      <c r="C29" s="31" t="s">
        <v>255</v>
      </c>
      <c r="D29" s="31" t="s">
        <v>255</v>
      </c>
      <c r="E29" s="24">
        <v>0.1</v>
      </c>
      <c r="F29" s="24">
        <v>0.2</v>
      </c>
      <c r="G29" s="24">
        <v>0</v>
      </c>
      <c r="H29" s="31" t="s">
        <v>255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297</v>
      </c>
      <c r="B30" s="70" t="s">
        <v>289</v>
      </c>
    </row>
    <row r="31" spans="1:36">
      <c r="H31" s="86"/>
      <c r="I31" s="86"/>
      <c r="AI31" s="12"/>
    </row>
    <row r="32" spans="1:36">
      <c r="A32" s="3" t="s">
        <v>298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299</v>
      </c>
      <c r="B34" s="11" t="s">
        <v>300</v>
      </c>
    </row>
    <row r="35" spans="1:36">
      <c r="A35" t="s">
        <v>301</v>
      </c>
      <c r="B35" s="72">
        <v>60</v>
      </c>
      <c r="C35" s="86"/>
    </row>
    <row r="36" spans="1:36">
      <c r="A36" t="s">
        <v>302</v>
      </c>
      <c r="B36" s="72">
        <v>2000</v>
      </c>
      <c r="C36" s="86"/>
    </row>
    <row r="37" spans="1:36">
      <c r="A37" t="s">
        <v>303</v>
      </c>
      <c r="B37" s="2">
        <v>0.4</v>
      </c>
    </row>
    <row r="39" spans="1:36">
      <c r="A39" s="3" t="s">
        <v>304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305</v>
      </c>
      <c r="C40" s="193"/>
    </row>
    <row r="41" spans="1:36">
      <c r="A41" s="5" t="s">
        <v>90</v>
      </c>
      <c r="B41" s="191" t="s">
        <v>306</v>
      </c>
      <c r="C41" s="191" t="s">
        <v>103</v>
      </c>
    </row>
    <row r="42" spans="1:36">
      <c r="A42" t="s">
        <v>286</v>
      </c>
      <c r="B42" s="72">
        <v>450</v>
      </c>
      <c r="C42" s="72">
        <v>450</v>
      </c>
    </row>
    <row r="43" spans="1:36">
      <c r="A43" t="s">
        <v>102</v>
      </c>
      <c r="B43" s="72">
        <v>450</v>
      </c>
      <c r="C43" s="72">
        <v>250</v>
      </c>
    </row>
    <row r="44" spans="1:36">
      <c r="A44" t="s">
        <v>290</v>
      </c>
      <c r="B44" s="72">
        <v>50000</v>
      </c>
      <c r="C44" s="72">
        <v>200000</v>
      </c>
    </row>
    <row r="45" spans="1:36">
      <c r="A45" t="s">
        <v>293</v>
      </c>
      <c r="B45" s="72">
        <v>25000</v>
      </c>
      <c r="C45" s="72">
        <v>50000</v>
      </c>
    </row>
    <row r="46" spans="1:36">
      <c r="A46" t="s">
        <v>294</v>
      </c>
      <c r="B46" s="72">
        <v>6000</v>
      </c>
      <c r="C46" s="72">
        <v>12000</v>
      </c>
    </row>
    <row r="47" spans="1:36">
      <c r="A47" t="s">
        <v>295</v>
      </c>
      <c r="B47" s="72">
        <v>4500</v>
      </c>
      <c r="C47" s="72">
        <v>12000</v>
      </c>
    </row>
    <row r="48" spans="1:36">
      <c r="A48" t="s">
        <v>296</v>
      </c>
      <c r="B48" s="72">
        <v>20000</v>
      </c>
      <c r="C48" s="72">
        <v>20000</v>
      </c>
      <c r="D48" s="72"/>
    </row>
    <row r="50" spans="1:36">
      <c r="A50" s="3" t="s">
        <v>307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263</v>
      </c>
      <c r="E52" s="12" t="s">
        <v>263</v>
      </c>
      <c r="F52" s="12" t="s">
        <v>263</v>
      </c>
      <c r="G52" s="12" t="s">
        <v>308</v>
      </c>
      <c r="H52" s="12" t="s">
        <v>309</v>
      </c>
      <c r="I52" s="12" t="s">
        <v>123</v>
      </c>
      <c r="AJ52" s="12"/>
    </row>
    <row r="53" spans="1:36" customHeight="1" ht="30">
      <c r="A53" s="11" t="s">
        <v>310</v>
      </c>
      <c r="B53" s="11" t="s">
        <v>311</v>
      </c>
      <c r="C53" s="11" t="s">
        <v>312</v>
      </c>
      <c r="D53" s="10" t="s">
        <v>221</v>
      </c>
      <c r="E53" s="10" t="s">
        <v>180</v>
      </c>
      <c r="F53" s="10" t="s">
        <v>240</v>
      </c>
      <c r="G53" s="10" t="s">
        <v>313</v>
      </c>
      <c r="H53" s="10" t="s">
        <v>314</v>
      </c>
      <c r="I53" s="10" t="s">
        <v>314</v>
      </c>
      <c r="AJ53" s="12"/>
    </row>
    <row r="54" spans="1:36">
      <c r="A54">
        <v>8</v>
      </c>
      <c r="B54" s="12" t="s">
        <v>315</v>
      </c>
      <c r="C54" s="12" t="s">
        <v>316</v>
      </c>
      <c r="D54" s="89">
        <v>465</v>
      </c>
      <c r="E54" s="89">
        <v>2</v>
      </c>
      <c r="F54" s="89">
        <v>4</v>
      </c>
      <c r="G54" s="7" t="s">
        <v>103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317</v>
      </c>
      <c r="C55" s="12" t="s">
        <v>316</v>
      </c>
      <c r="D55" s="89">
        <v>465</v>
      </c>
      <c r="E55" s="89">
        <v>2</v>
      </c>
      <c r="F55" s="89">
        <v>4</v>
      </c>
      <c r="G55" s="7" t="s">
        <v>103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318</v>
      </c>
      <c r="C56" s="116" t="s">
        <v>319</v>
      </c>
      <c r="D56" s="189">
        <v>930</v>
      </c>
      <c r="E56" s="189">
        <v>1</v>
      </c>
      <c r="F56" s="189">
        <v>6</v>
      </c>
      <c r="G56" s="72" t="s">
        <v>306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320</v>
      </c>
      <c r="C57" s="116" t="s">
        <v>316</v>
      </c>
      <c r="D57" s="189">
        <v>465</v>
      </c>
      <c r="E57" s="189">
        <v>2</v>
      </c>
      <c r="F57" s="189">
        <v>4</v>
      </c>
      <c r="G57" s="72" t="s">
        <v>103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321</v>
      </c>
      <c r="C58" s="116" t="s">
        <v>316</v>
      </c>
      <c r="D58" s="189">
        <v>465</v>
      </c>
      <c r="E58" s="189">
        <v>2</v>
      </c>
      <c r="F58" s="189">
        <v>4</v>
      </c>
      <c r="G58" s="72" t="s">
        <v>103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322</v>
      </c>
      <c r="C59" s="116" t="s">
        <v>319</v>
      </c>
      <c r="D59" s="189">
        <v>465</v>
      </c>
      <c r="E59" s="189">
        <v>2</v>
      </c>
      <c r="F59" s="189">
        <v>4</v>
      </c>
      <c r="G59" s="72" t="s">
        <v>306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323</v>
      </c>
      <c r="C60" s="116" t="s">
        <v>319</v>
      </c>
      <c r="D60" s="189">
        <v>465</v>
      </c>
      <c r="E60" s="189">
        <v>1</v>
      </c>
      <c r="F60" s="189">
        <v>5</v>
      </c>
      <c r="G60" s="72" t="s">
        <v>306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324</v>
      </c>
      <c r="C61" s="116" t="s">
        <v>319</v>
      </c>
      <c r="D61" s="189">
        <v>465</v>
      </c>
      <c r="E61" s="189">
        <v>2</v>
      </c>
      <c r="F61" s="189">
        <v>4</v>
      </c>
      <c r="G61" s="72" t="s">
        <v>103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325</v>
      </c>
      <c r="C62" s="116" t="s">
        <v>319</v>
      </c>
      <c r="D62" s="189">
        <v>465</v>
      </c>
      <c r="E62" s="189">
        <v>2</v>
      </c>
      <c r="F62" s="189">
        <v>4</v>
      </c>
      <c r="G62" s="72" t="s">
        <v>103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326</v>
      </c>
      <c r="C63" s="116" t="s">
        <v>319</v>
      </c>
      <c r="D63" s="189">
        <v>465</v>
      </c>
      <c r="E63" s="189">
        <v>2</v>
      </c>
      <c r="F63" s="189">
        <v>4</v>
      </c>
      <c r="G63" s="72" t="s">
        <v>103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327</v>
      </c>
      <c r="C64" s="116" t="s">
        <v>319</v>
      </c>
      <c r="D64" s="189">
        <v>930</v>
      </c>
      <c r="E64" s="189">
        <v>1</v>
      </c>
      <c r="F64" s="189">
        <v>6</v>
      </c>
      <c r="G64" s="72" t="s">
        <v>306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328</v>
      </c>
      <c r="C65" s="12" t="s">
        <v>319</v>
      </c>
      <c r="D65" s="89">
        <v>465</v>
      </c>
      <c r="E65" s="89">
        <v>2</v>
      </c>
      <c r="F65" s="89">
        <v>4</v>
      </c>
      <c r="G65" s="7" t="s">
        <v>306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329</v>
      </c>
      <c r="C66" s="12" t="s">
        <v>319</v>
      </c>
      <c r="D66" s="89">
        <v>465</v>
      </c>
      <c r="E66" s="89">
        <v>2</v>
      </c>
      <c r="F66" s="89">
        <v>4</v>
      </c>
      <c r="G66" s="7" t="s">
        <v>306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330</v>
      </c>
      <c r="C67" s="12" t="s">
        <v>319</v>
      </c>
      <c r="D67" s="89">
        <v>930</v>
      </c>
      <c r="E67" s="89">
        <v>1</v>
      </c>
      <c r="F67" s="89">
        <v>6</v>
      </c>
      <c r="G67" s="7" t="s">
        <v>306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331</v>
      </c>
      <c r="C68" s="12" t="s">
        <v>319</v>
      </c>
      <c r="D68" s="89">
        <v>930</v>
      </c>
      <c r="E68" s="89">
        <v>1</v>
      </c>
      <c r="F68" s="89">
        <v>6</v>
      </c>
      <c r="G68" s="7" t="s">
        <v>103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332</v>
      </c>
      <c r="C69" s="12" t="s">
        <v>319</v>
      </c>
      <c r="D69" s="89">
        <v>465</v>
      </c>
      <c r="E69" s="89">
        <v>2</v>
      </c>
      <c r="F69" s="89">
        <v>4</v>
      </c>
      <c r="G69" s="7" t="s">
        <v>103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333</v>
      </c>
      <c r="C70" s="12" t="s">
        <v>319</v>
      </c>
      <c r="D70" s="89">
        <v>465</v>
      </c>
      <c r="E70" s="89">
        <v>2</v>
      </c>
      <c r="F70" s="89">
        <v>4</v>
      </c>
      <c r="G70" s="7" t="s">
        <v>103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334</v>
      </c>
      <c r="C71" s="12" t="s">
        <v>316</v>
      </c>
      <c r="D71" s="89">
        <v>465</v>
      </c>
      <c r="E71" s="89">
        <v>2</v>
      </c>
      <c r="F71" s="89">
        <v>4</v>
      </c>
      <c r="G71" s="7" t="s">
        <v>103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335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336</v>
      </c>
      <c r="B76" s="11" t="s">
        <v>337</v>
      </c>
      <c r="C76" s="11" t="s">
        <v>158</v>
      </c>
      <c r="D76" s="11" t="s">
        <v>338</v>
      </c>
      <c r="E76" s="11" t="s">
        <v>80</v>
      </c>
      <c r="F76" s="11" t="s">
        <v>339</v>
      </c>
      <c r="G76" s="11" t="s">
        <v>340</v>
      </c>
      <c r="H76" s="11" t="s">
        <v>341</v>
      </c>
      <c r="I76" s="11" t="s">
        <v>217</v>
      </c>
      <c r="J76" s="11" t="s">
        <v>342</v>
      </c>
      <c r="K76" s="11" t="s">
        <v>170</v>
      </c>
      <c r="AJ76" s="12"/>
    </row>
    <row r="77" spans="1:36">
      <c r="A77" t="s">
        <v>103</v>
      </c>
      <c r="B77" s="176">
        <v>0</v>
      </c>
      <c r="C77" s="12" t="s">
        <v>343</v>
      </c>
      <c r="E77" s="12" t="s">
        <v>306</v>
      </c>
      <c r="F77" s="12" t="s">
        <v>306</v>
      </c>
      <c r="G77" s="12" t="s">
        <v>344</v>
      </c>
      <c r="H77" s="12" t="s">
        <v>309</v>
      </c>
      <c r="I77" s="12" t="s">
        <v>345</v>
      </c>
      <c r="J77" s="136" t="s">
        <v>346</v>
      </c>
      <c r="K77" s="12" t="s">
        <v>306</v>
      </c>
      <c r="AJ77" s="12"/>
    </row>
    <row r="78" spans="1:36">
      <c r="A78" t="s">
        <v>306</v>
      </c>
      <c r="B78" s="176">
        <v>5</v>
      </c>
      <c r="C78" s="134" t="s">
        <v>347</v>
      </c>
      <c r="D78" s="133"/>
      <c r="E78" s="12" t="s">
        <v>348</v>
      </c>
      <c r="F78" s="12" t="s">
        <v>349</v>
      </c>
      <c r="G78" s="12" t="s">
        <v>104</v>
      </c>
      <c r="H78" s="12" t="s">
        <v>123</v>
      </c>
      <c r="I78" s="12" t="s">
        <v>350</v>
      </c>
      <c r="J78" s="70" t="s">
        <v>351</v>
      </c>
      <c r="K78" s="12" t="s">
        <v>306</v>
      </c>
      <c r="AJ78" s="12"/>
    </row>
    <row r="79" spans="1:36">
      <c r="B79" s="176">
        <v>10</v>
      </c>
      <c r="C79" s="12" t="s">
        <v>352</v>
      </c>
      <c r="D79" s="12">
        <v>1</v>
      </c>
      <c r="E79" s="12" t="s">
        <v>353</v>
      </c>
      <c r="F79" s="12" t="s">
        <v>354</v>
      </c>
      <c r="G79" s="12" t="s">
        <v>105</v>
      </c>
      <c r="I79" s="12" t="s">
        <v>158</v>
      </c>
      <c r="J79" s="70" t="s">
        <v>355</v>
      </c>
      <c r="K79" s="12" t="s">
        <v>306</v>
      </c>
      <c r="AJ79" s="12"/>
    </row>
    <row r="80" spans="1:36">
      <c r="B80" s="176">
        <v>20</v>
      </c>
      <c r="C80" s="12" t="s">
        <v>356</v>
      </c>
      <c r="D80" s="12">
        <f>D79+1</f>
        <v>2</v>
      </c>
      <c r="E80" s="12" t="s">
        <v>357</v>
      </c>
      <c r="F80" s="12" t="s">
        <v>358</v>
      </c>
      <c r="J80" s="70" t="s">
        <v>359</v>
      </c>
      <c r="K80" s="12" t="s">
        <v>103</v>
      </c>
      <c r="AJ80" s="12"/>
    </row>
    <row r="81" spans="1:36">
      <c r="B81" s="176">
        <v>30</v>
      </c>
      <c r="C81" s="12" t="s">
        <v>360</v>
      </c>
      <c r="D81" s="12">
        <f>D80+1</f>
        <v>3</v>
      </c>
      <c r="J81" s="70" t="s">
        <v>361</v>
      </c>
      <c r="K81" s="12" t="s">
        <v>103</v>
      </c>
    </row>
    <row r="82" spans="1:36">
      <c r="B82" s="176">
        <v>40</v>
      </c>
      <c r="C82" s="12" t="s">
        <v>362</v>
      </c>
      <c r="D82" s="12">
        <f>D81+1</f>
        <v>4</v>
      </c>
      <c r="J82" s="70"/>
    </row>
    <row r="83" spans="1:36">
      <c r="B83" s="176">
        <v>50</v>
      </c>
      <c r="C83" s="12" t="s">
        <v>146</v>
      </c>
      <c r="D83" s="12">
        <f>D82+1</f>
        <v>5</v>
      </c>
    </row>
    <row r="84" spans="1:36">
      <c r="B84" s="176">
        <v>60</v>
      </c>
      <c r="C84" s="12" t="s">
        <v>145</v>
      </c>
      <c r="D84" s="12">
        <f>D83+1</f>
        <v>6</v>
      </c>
    </row>
    <row r="85" spans="1:36">
      <c r="B85" s="176">
        <v>70</v>
      </c>
      <c r="C85" s="12" t="s">
        <v>144</v>
      </c>
      <c r="D85" s="12">
        <f>D84+1</f>
        <v>7</v>
      </c>
    </row>
    <row r="86" spans="1:36">
      <c r="B86" s="176">
        <v>80</v>
      </c>
      <c r="C86" s="12" t="s">
        <v>143</v>
      </c>
      <c r="D86" s="12">
        <f>D85+1</f>
        <v>8</v>
      </c>
    </row>
    <row r="87" spans="1:36">
      <c r="B87" s="176">
        <v>89.99999999999999</v>
      </c>
      <c r="C87" s="12" t="s">
        <v>142</v>
      </c>
      <c r="D87" s="12">
        <f>D86+1</f>
        <v>9</v>
      </c>
    </row>
    <row r="88" spans="1:36">
      <c r="B88" s="176">
        <v>99.99999999999999</v>
      </c>
      <c r="C88" s="12" t="s">
        <v>141</v>
      </c>
      <c r="D88" s="12">
        <f>D87+1</f>
        <v>10</v>
      </c>
    </row>
    <row r="89" spans="1:36">
      <c r="C89" s="12" t="s">
        <v>363</v>
      </c>
      <c r="D89" s="12">
        <f>D88+1</f>
        <v>11</v>
      </c>
    </row>
    <row r="90" spans="1:36">
      <c r="C90" s="12" t="s">
        <v>364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