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<sst xmlns="http://schemas.openxmlformats.org/spreadsheetml/2006/main" uniqueCount="372">
  <si>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</si>
  <si>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</si>
  <si>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</si>
  <si>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</si>
  <si>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</si>
  <si>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</si>
  <si>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</si>
  <si>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</si>
  <si>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</si>
  <si>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</si>
  <si>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</si>
  <si>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</si>
  <si>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</si>
  <si>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</si>
  <si>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</si>
  <si>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</si>
  <si>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</si>
  <si>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</si>
  <si>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</si>
  <si>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</si>
  <si>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</si>
  <si>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</si>
  <si>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</si>
  <si>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</si>
  <si>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</si>
  <si>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</si>
  <si>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</si>
  <si>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</si>
  <si>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</si>
  <si>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</si>
  <si>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</si>
  <si>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</si>
  <si>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</si>
  <si>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</si>
  <si>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</si>
  <si>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</si>
  <si>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</si>
  <si>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</si>
  <si>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</si>
  <si>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</si>
  <si>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</si>
  <si>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</si>
  <si>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</si>
  <si>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</si>
  <si>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</si>
  <si>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</si>
  <si>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</si>
  <si>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</si>
  <si>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</si>
  <si>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</si>
  <si>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</si>
  <si>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</si>
  <si>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</si>
  <si>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</si>
  <si>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</si>
  <si>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</si>
  <si>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</si>
  <si>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</si>
  <si>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</si>
  <si>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</si>
  <si>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</si>
  <si>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</si>
  <si>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</si>
  <si>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</si>
  <si>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</si>
  <si>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</si>
  <si>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</si>
  <si>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</si>
  <si>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</si>
  <si>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</si>
  <si>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</si>
  <si>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</si>
  <si>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</si>
  <si>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</si>
  <si>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</si>
  <si>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</si>
  <si>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</si>
  <si>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</si>
  <si>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</si>
  <si>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</si>
  <si>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</si>
  <si>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</si>
  <si>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</si>
  <si>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</si>
  <si>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</si>
  <si>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</si>
  <si>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</si>
  <si>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</si>
  <si>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</si>
  <si>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</si>
  <si>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</si>
  <si>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</si>
  <si>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</si>
  <si>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</si>
  <si>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January</t>
  </si>
  <si>
    <t>Other crops</t>
  </si>
  <si>
    <t>Home recycled</t>
  </si>
  <si>
    <t>Yes only manure</t>
  </si>
  <si>
    <t>May</t>
  </si>
  <si>
    <t>Bananas</t>
  </si>
  <si>
    <t>no planting_trees are mature</t>
  </si>
  <si>
    <t>Sugarcane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</si>
  <si>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</si>
  <si>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</si>
  <si>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</si>
  <si>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</si>
  <si>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</si>
  <si>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</si>
  <si>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</si>
  <si>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</si>
  <si>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</si>
  <si>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</si>
  <si>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</si>
  <si>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</si>
  <si>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</si>
  <si>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</si>
  <si>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</si>
  <si>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</si>
  <si>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</si>
  <si>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</si>
  <si>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</si>
  <si>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</si>
  <si>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Making of juggery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</si>
  <si>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</si>
  <si>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</si>
  <si>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</si>
  <si>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</si>
  <si>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</si>
  <si>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</si>
  <si>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</si>
  <si>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poshomill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</si>
  <si>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</si>
  <si>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</si>
  <si>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</si>
  <si>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</si>
  <si>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</si>
  <si>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</si>
  <si>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</si>
  <si>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</si>
  <si>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</si>
  <si>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</si>
  <si>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</si>
  <si>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</si>
  <si>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</si>
  <si>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</si>
  <si>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</si>
  <si>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</si>
  <si>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</si>
  <si>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</si>
  <si>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</si>
  <si>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</si>
  <si>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8/13/2017</t>
  </si>
  <si>
    <t>mobile</t>
  </si>
  <si>
    <t>Trp 100%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</si>
  <si>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</si>
  <si>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</si>
  <si>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</si>
  <si>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</si>
  <si>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</si>
  <si>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</si>
  <si>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</si>
  <si>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April</t>
  </si>
  <si>
    <t>Loan info</t>
  </si>
  <si>
    <t>Branch ID</t>
  </si>
  <si>
    <t>Submission date</t>
  </si>
  <si>
    <t>2017/11/13</t>
  </si>
  <si>
    <t>Loan terms</t>
  </si>
  <si>
    <t>Expected disbursement date</t>
  </si>
  <si>
    <t>Expected first repayment date</t>
  </si>
  <si>
    <t>2017/12/13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</si>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</sst>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Bananas, Sugarcane,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Making of juggery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0.7339939564958182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0.00581024559396561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46666.66666666667</v>
      </c>
    </row>
    <row r="17" spans="1:7">
      <c r="B17" s="1" t="s">
        <v>11</v>
      </c>
      <c r="C17" s="36">
        <f>SUM(Output!B6:M6)</f>
        <v>271159.5169376902</v>
      </c>
    </row>
    <row r="18" spans="1:7">
      <c r="B18" s="1" t="s">
        <v>12</v>
      </c>
      <c r="C18" s="36">
        <f>MIN(Output!B6:M6)</f>
        <v>-158817.6348909828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157011.5662323912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43342.36510901721</v>
      </c>
      <c r="C6" s="51">
        <f>C30-C88</f>
        <v>43342.36510901721</v>
      </c>
      <c r="D6" s="51">
        <f>D30-D88</f>
        <v>-158817.6348909828</v>
      </c>
      <c r="E6" s="51">
        <f>E30-E88</f>
        <v>7242.365109017206</v>
      </c>
      <c r="F6" s="51">
        <f>F30-F88</f>
        <v>7242.365109017206</v>
      </c>
      <c r="G6" s="51">
        <f>G30-G88</f>
        <v>1242.365109017206</v>
      </c>
      <c r="H6" s="51">
        <f>H30-H88</f>
        <v>-17757.63489098281</v>
      </c>
      <c r="I6" s="51">
        <f>I30-I88</f>
        <v>58284.29961512705</v>
      </c>
      <c r="J6" s="51">
        <f>J30-J88</f>
        <v>157011.5662323912</v>
      </c>
      <c r="K6" s="51">
        <f>K30-K88</f>
        <v>43342.36510901721</v>
      </c>
      <c r="L6" s="51">
        <f>L30-L88</f>
        <v>43342.36510901721</v>
      </c>
      <c r="M6" s="51">
        <f>M30-M88</f>
        <v>43342.36510901721</v>
      </c>
      <c r="N6" s="51">
        <f>N30-N88</f>
        <v>43342.36510901721</v>
      </c>
      <c r="O6" s="51">
        <f>O30-O88</f>
        <v>43342.36510901721</v>
      </c>
      <c r="P6" s="51">
        <f>P30-P88</f>
        <v>-38817.63489098281</v>
      </c>
      <c r="Q6" s="51">
        <f>Q30-Q88</f>
        <v>7242.365109017206</v>
      </c>
      <c r="R6" s="51">
        <f>R30-R88</f>
        <v>7242.365109017206</v>
      </c>
      <c r="S6" s="51">
        <f>S30-S88</f>
        <v>1242.365109017206</v>
      </c>
      <c r="T6" s="51">
        <f>T30-T88</f>
        <v>-17757.63489098281</v>
      </c>
      <c r="U6" s="51">
        <f>U30-U88</f>
        <v>58284.29961512705</v>
      </c>
      <c r="V6" s="51">
        <f>V30-V88</f>
        <v>157011.5662323912</v>
      </c>
      <c r="W6" s="51">
        <f>W30-W88</f>
        <v>43342.36510901721</v>
      </c>
      <c r="X6" s="51">
        <f>X30-X88</f>
        <v>43342.36510901721</v>
      </c>
      <c r="Y6" s="51">
        <f>Y30-Y88</f>
        <v>43342.36510901721</v>
      </c>
      <c r="Z6" s="51">
        <f>SUMIF($B$13:$Y$13,"Yes",B6:Y6)</f>
        <v>662319.0338753805</v>
      </c>
      <c r="AA6" s="51">
        <f>AA30-AA88</f>
        <v>271159.51693769</v>
      </c>
      <c r="AB6" s="51">
        <f>AB30-AB88</f>
        <v>662319.0338753806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-42740</v>
      </c>
      <c r="H7" s="80">
        <f>IF(ISERROR(VLOOKUP(MONTH(H5),Inputs!$D$66:$D$71,1,0)),"",INDEX(Inputs!$B$66:$B$71,MATCH(MONTH(Output!H5),Inputs!$D$66:$D$71,0))-INDEX(Inputs!$C$66:$C$71,MATCH(MONTH(Output!H5),Inputs!$D$66:$D$71,0)))</f>
        <v>98830</v>
      </c>
      <c r="I7" s="80">
        <f>IF(ISERROR(VLOOKUP(MONTH(I5),Inputs!$D$66:$D$71,1,0)),"",INDEX(Inputs!$B$66:$B$71,MATCH(MONTH(Output!I5),Inputs!$D$66:$D$71,0))-INDEX(Inputs!$C$66:$C$71,MATCH(MONTH(Output!I5),Inputs!$D$66:$D$71,0)))</f>
        <v>66740</v>
      </c>
      <c r="J7" s="80">
        <f>IF(ISERROR(VLOOKUP(MONTH(J5),Inputs!$D$66:$D$71,1,0)),"",INDEX(Inputs!$B$66:$B$71,MATCH(MONTH(Output!J5),Inputs!$D$66:$D$71,0))-INDEX(Inputs!$C$66:$C$71,MATCH(MONTH(Output!J5),Inputs!$D$66:$D$71,0)))</f>
        <v>-5565</v>
      </c>
      <c r="K7" s="80">
        <f>IF(ISERROR(VLOOKUP(MONTH(K5),Inputs!$D$66:$D$71,1,0)),"",INDEX(Inputs!$B$66:$B$71,MATCH(MONTH(Output!K5),Inputs!$D$66:$D$71,0))-INDEX(Inputs!$C$66:$C$71,MATCH(MONTH(Output!K5),Inputs!$D$66:$D$71,0)))</f>
        <v>10205</v>
      </c>
      <c r="L7" s="80">
        <f>IF(ISERROR(VLOOKUP(MONTH(L5),Inputs!$D$66:$D$71,1,0)),"",INDEX(Inputs!$B$66:$B$71,MATCH(MONTH(Output!L5),Inputs!$D$66:$D$71,0))-INDEX(Inputs!$C$66:$C$71,MATCH(MONTH(Output!L5),Inputs!$D$66:$D$71,0)))</f>
        <v>2450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-42740</v>
      </c>
      <c r="T7" s="80">
        <f>IF(ISERROR(VLOOKUP(MONTH(T5),Inputs!$D$66:$D$71,1,0)),"",INDEX(Inputs!$B$66:$B$71,MATCH(MONTH(Output!T5),Inputs!$D$66:$D$71,0))-INDEX(Inputs!$C$66:$C$71,MATCH(MONTH(Output!T5),Inputs!$D$66:$D$71,0)))</f>
        <v>98830</v>
      </c>
      <c r="U7" s="80">
        <f>IF(ISERROR(VLOOKUP(MONTH(U5),Inputs!$D$66:$D$71,1,0)),"",INDEX(Inputs!$B$66:$B$71,MATCH(MONTH(Output!U5),Inputs!$D$66:$D$71,0))-INDEX(Inputs!$C$66:$C$71,MATCH(MONTH(Output!U5),Inputs!$D$66:$D$71,0)))</f>
        <v>66740</v>
      </c>
      <c r="V7" s="80">
        <f>IF(ISERROR(VLOOKUP(MONTH(V5),Inputs!$D$66:$D$71,1,0)),"",INDEX(Inputs!$B$66:$B$71,MATCH(MONTH(Output!V5),Inputs!$D$66:$D$71,0))-INDEX(Inputs!$C$66:$C$71,MATCH(MONTH(Output!V5),Inputs!$D$66:$D$71,0)))</f>
        <v>-5565</v>
      </c>
      <c r="W7" s="80">
        <f>IF(ISERROR(VLOOKUP(MONTH(W5),Inputs!$D$66:$D$71,1,0)),"",INDEX(Inputs!$B$66:$B$71,MATCH(MONTH(Output!W5),Inputs!$D$66:$D$71,0))-INDEX(Inputs!$C$66:$C$71,MATCH(MONTH(Output!W5),Inputs!$D$66:$D$71,0)))</f>
        <v>10205</v>
      </c>
      <c r="X7" s="80">
        <f>IF(ISERROR(VLOOKUP(MONTH(X5),Inputs!$D$66:$D$71,1,0)),"",INDEX(Inputs!$B$66:$B$71,MATCH(MONTH(Output!X5),Inputs!$D$66:$D$71,0))-INDEX(Inputs!$C$66:$C$71,MATCH(MONTH(Output!X5),Inputs!$D$66:$D$71,0)))</f>
        <v>2450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800000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800000</v>
      </c>
      <c r="AA9" s="75">
        <f>SUM(B9:M9)</f>
        <v>800000</v>
      </c>
      <c r="AB9" s="75">
        <f>SUM(B9:Y9)</f>
        <v>800000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46666.66666666667</v>
      </c>
      <c r="D10" s="37">
        <f>SUMPRODUCT((Calculations!$D$33:$D$84=Output!D5)+0,Calculations!$C$33:$C$84)</f>
        <v>46666.66666666667</v>
      </c>
      <c r="E10" s="37">
        <f>SUMPRODUCT((Calculations!$D$33:$D$84=Output!E5)+0,Calculations!$C$33:$C$84)</f>
        <v>46666.66666666667</v>
      </c>
      <c r="F10" s="37">
        <f>SUMPRODUCT((Calculations!$D$33:$D$84=Output!F5)+0,Calculations!$C$33:$C$84)</f>
        <v>46666.66666666667</v>
      </c>
      <c r="G10" s="37">
        <f>SUMPRODUCT((Calculations!$D$33:$D$84=Output!G5)+0,Calculations!$C$33:$C$84)</f>
        <v>46666.66666666667</v>
      </c>
      <c r="H10" s="37">
        <f>SUMPRODUCT((Calculations!$D$33:$D$84=Output!H5)+0,Calculations!$C$33:$C$84)</f>
        <v>46666.66666666667</v>
      </c>
      <c r="I10" s="37">
        <f>SUMPRODUCT((Calculations!$D$33:$D$84=Output!I5)+0,Calculations!$C$33:$C$84)</f>
        <v>46666.66666666667</v>
      </c>
      <c r="J10" s="37">
        <f>SUMPRODUCT((Calculations!$D$33:$D$84=Output!J5)+0,Calculations!$C$33:$C$84)</f>
        <v>46666.66666666667</v>
      </c>
      <c r="K10" s="37">
        <f>SUMPRODUCT((Calculations!$D$33:$D$84=Output!K5)+0,Calculations!$C$33:$C$84)</f>
        <v>46666.66666666667</v>
      </c>
      <c r="L10" s="37">
        <f>SUMPRODUCT((Calculations!$D$33:$D$84=Output!L5)+0,Calculations!$C$33:$C$84)</f>
        <v>46666.66666666667</v>
      </c>
      <c r="M10" s="37">
        <f>SUMPRODUCT((Calculations!$D$33:$D$84=Output!M5)+0,Calculations!$C$33:$C$84)</f>
        <v>46666.66666666667</v>
      </c>
      <c r="N10" s="37">
        <f>SUMPRODUCT((Calculations!$D$33:$D$84=Output!N5)+0,Calculations!$C$33:$C$84)</f>
        <v>46666.66666666667</v>
      </c>
      <c r="O10" s="37">
        <f>SUMPRODUCT((Calculations!$D$33:$D$84=Output!O5)+0,Calculations!$C$33:$C$84)</f>
        <v>46666.66666666667</v>
      </c>
      <c r="P10" s="37">
        <f>SUMPRODUCT((Calculations!$D$33:$D$84=Output!P5)+0,Calculations!$C$33:$C$84)</f>
        <v>46666.66666666667</v>
      </c>
      <c r="Q10" s="37">
        <f>SUMPRODUCT((Calculations!$D$33:$D$84=Output!Q5)+0,Calculations!$C$33:$C$84)</f>
        <v>46666.66666666667</v>
      </c>
      <c r="R10" s="37">
        <f>SUMPRODUCT((Calculations!$D$33:$D$84=Output!R5)+0,Calculations!$C$33:$C$84)</f>
        <v>46666.66666666667</v>
      </c>
      <c r="S10" s="37">
        <f>SUMPRODUCT((Calculations!$D$33:$D$84=Output!S5)+0,Calculations!$C$33:$C$84)</f>
        <v>46666.66666666667</v>
      </c>
      <c r="T10" s="37">
        <f>SUMPRODUCT((Calculations!$D$33:$D$84=Output!T5)+0,Calculations!$C$33:$C$84)</f>
        <v>46666.66666666667</v>
      </c>
      <c r="U10" s="37">
        <f>SUMPRODUCT((Calculations!$D$33:$D$84=Output!U5)+0,Calculations!$C$33:$C$84)</f>
        <v>46666.66666666667</v>
      </c>
      <c r="V10" s="37">
        <f>SUMPRODUCT((Calculations!$D$33:$D$84=Output!V5)+0,Calculations!$C$33:$C$84)</f>
        <v>46666.66666666667</v>
      </c>
      <c r="W10" s="37">
        <f>SUMPRODUCT((Calculations!$D$33:$D$84=Output!W5)+0,Calculations!$C$33:$C$84)</f>
        <v>46666.66666666667</v>
      </c>
      <c r="X10" s="37">
        <f>SUMPRODUCT((Calculations!$D$33:$D$84=Output!X5)+0,Calculations!$C$33:$C$84)</f>
        <v>46666.66666666667</v>
      </c>
      <c r="Y10" s="37">
        <f>SUMPRODUCT((Calculations!$D$33:$D$84=Output!Y5)+0,Calculations!$C$33:$C$84)</f>
        <v>46666.66666666667</v>
      </c>
      <c r="Z10" s="37">
        <f>SUMIF($B$13:$Y$13,"Yes",B10:Y10)</f>
        <v>1073333.333333333</v>
      </c>
      <c r="AA10" s="37">
        <f>SUM(B10:M10)</f>
        <v>513333.3333333335</v>
      </c>
      <c r="AB10" s="37">
        <f>SUM(B10:Y10)</f>
        <v>1073333.333333333</v>
      </c>
    </row>
    <row r="11" spans="1:30" customHeight="1" ht="15.75">
      <c r="A11" s="43" t="s">
        <v>31</v>
      </c>
      <c r="B11" s="80">
        <f>B6+B9-B10</f>
        <v>843342.3651090172</v>
      </c>
      <c r="C11" s="80">
        <f>C6+C9-C10</f>
        <v>-3324.301557649465</v>
      </c>
      <c r="D11" s="80">
        <f>D6+D9-D10</f>
        <v>-205484.3015576495</v>
      </c>
      <c r="E11" s="80">
        <f>E6+E9-E10</f>
        <v>-39424.30155764947</v>
      </c>
      <c r="F11" s="80">
        <f>F6+F9-F10</f>
        <v>-39424.30155764947</v>
      </c>
      <c r="G11" s="80">
        <f>G6+G9-G10</f>
        <v>-45424.30155764947</v>
      </c>
      <c r="H11" s="80">
        <f>H6+H9-H10</f>
        <v>-64424.30155764948</v>
      </c>
      <c r="I11" s="80">
        <f>I6+I9-I10</f>
        <v>11617.63294846038</v>
      </c>
      <c r="J11" s="80">
        <f>J6+J9-J10</f>
        <v>110344.8995657245</v>
      </c>
      <c r="K11" s="80">
        <f>K6+K9-K10</f>
        <v>-3324.301557649465</v>
      </c>
      <c r="L11" s="80">
        <f>L6+L9-L10</f>
        <v>-3324.301557649465</v>
      </c>
      <c r="M11" s="80">
        <f>M6+M9-M10</f>
        <v>-3324.301557649465</v>
      </c>
      <c r="N11" s="80">
        <f>N6+N9-N10</f>
        <v>-3324.301557649465</v>
      </c>
      <c r="O11" s="80">
        <f>O6+O9-O10</f>
        <v>-3324.301557649465</v>
      </c>
      <c r="P11" s="80">
        <f>P6+P9-P10</f>
        <v>-85484.30155764948</v>
      </c>
      <c r="Q11" s="80">
        <f>Q6+Q9-Q10</f>
        <v>-39424.30155764947</v>
      </c>
      <c r="R11" s="80">
        <f>R6+R9-R10</f>
        <v>-39424.30155764947</v>
      </c>
      <c r="S11" s="80">
        <f>S6+S9-S10</f>
        <v>-45424.30155764947</v>
      </c>
      <c r="T11" s="80">
        <f>T6+T9-T10</f>
        <v>-64424.30155764948</v>
      </c>
      <c r="U11" s="80">
        <f>U6+U9-U10</f>
        <v>11617.63294846038</v>
      </c>
      <c r="V11" s="80">
        <f>V6+V9-V10</f>
        <v>110344.8995657245</v>
      </c>
      <c r="W11" s="80">
        <f>W6+W9-W10</f>
        <v>-3324.301557649465</v>
      </c>
      <c r="X11" s="80">
        <f>X6+X9-X10</f>
        <v>-3324.301557649465</v>
      </c>
      <c r="Y11" s="80">
        <f>Y6+Y9-Y10</f>
        <v>-3324.301557649465</v>
      </c>
      <c r="Z11" s="85">
        <f>SUMIF($B$13:$Y$13,"Yes",B11:Y11)</f>
        <v>388985.7005420469</v>
      </c>
      <c r="AA11" s="80">
        <f>SUM(B11:M11)</f>
        <v>557826.1836043567</v>
      </c>
      <c r="AB11" s="46">
        <f>SUM(B11:Y11)</f>
        <v>388985.7005420469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0.05263050673624593</v>
      </c>
      <c r="D12" s="82">
        <f>IF(D13="Yes",IF(SUM($B$10:D10)/(SUM($B$6:D6)+SUM($B$9:D9))&lt;0,999.99,SUM($B$10:D10)/(SUM($B$6:D6)+SUM($B$9:D9))),"")</f>
        <v>0.1282285377818817</v>
      </c>
      <c r="E12" s="82">
        <f>IF(E13="Yes",IF(SUM($B$10:E10)/(SUM($B$6:E6)+SUM($B$9:E9))&lt;0,999.99,SUM($B$10:E10)/(SUM($B$6:E6)+SUM($B$9:E9))),"")</f>
        <v>0.1904478278880422</v>
      </c>
      <c r="F12" s="82">
        <f>IF(F13="Yes",IF(SUM($B$10:F10)/(SUM($B$6:F6)+SUM($B$9:F9))&lt;0,999.99,SUM($B$10:F10)/(SUM($B$6:F6)+SUM($B$9:F9))),"")</f>
        <v>0.2514530984410298</v>
      </c>
      <c r="G12" s="82">
        <f>IF(G13="Yes",IF(SUM($B$10:G10)/(SUM($B$6:G6)+SUM($B$9:G9))&lt;0,999.99,SUM($B$10:G10)/(SUM($B$6:G6)+SUM($B$9:G9))),"")</f>
        <v>0.3137912268089151</v>
      </c>
      <c r="H12" s="82">
        <f>IF(H13="Yes",IF(SUM($B$10:H10)/(SUM($B$6:H6)+SUM($B$9:H9))&lt;0,999.99,SUM($B$10:H10)/(SUM($B$6:H6)+SUM($B$9:H9))),"")</f>
        <v>0.3857617776024209</v>
      </c>
      <c r="I12" s="82">
        <f>IF(I13="Yes",IF(SUM($B$10:I10)/(SUM($B$6:I6)+SUM($B$9:I9))&lt;0,999.99,SUM($B$10:I10)/(SUM($B$6:I6)+SUM($B$9:I9))),"")</f>
        <v>0.4166024464546195</v>
      </c>
      <c r="J12" s="82">
        <f>IF(J13="Yes",IF(SUM($B$10:J10)/(SUM($B$6:J6)+SUM($B$9:J9))&lt;0,999.99,SUM($B$10:J10)/(SUM($B$6:J6)+SUM($B$9:J9))),"")</f>
        <v>0.3966852323442613</v>
      </c>
      <c r="K12" s="82">
        <f>IF(K13="Yes",IF(SUM($B$10:K10)/(SUM($B$6:K6)+SUM($B$9:K9))&lt;0,999.99,SUM($B$10:K10)/(SUM($B$6:K6)+SUM($B$9:K9))),"")</f>
        <v>0.4266234195793594</v>
      </c>
      <c r="L12" s="82">
        <f>IF(L13="Yes",IF(SUM($B$10:L10)/(SUM($B$6:L6)+SUM($B$9:L9))&lt;0,999.99,SUM($B$10:L10)/(SUM($B$6:L6)+SUM($B$9:L9))),"")</f>
        <v>0.4540366599607549</v>
      </c>
      <c r="M12" s="82">
        <f>IF(M13="Yes",IF(SUM($B$10:M10)/(SUM($B$6:M6)+SUM($B$9:M9))&lt;0,999.99,SUM($B$10:M10)/(SUM($B$6:M6)+SUM($B$9:M9))),"")</f>
        <v>0.4792314545277893</v>
      </c>
      <c r="N12" s="82">
        <f>IF(N13="Yes",IF(SUM($B$10:N10)/(SUM($B$6:N6)+SUM($B$9:N9))&lt;0,999.99,SUM($B$10:N10)/(SUM($B$6:N6)+SUM($B$9:N9))),"")</f>
        <v>0.5024666256925452</v>
      </c>
      <c r="O12" s="82">
        <f>IF(O13="Yes",IF(SUM($B$10:O10)/(SUM($B$6:O6)+SUM($B$9:O9))&lt;0,999.99,SUM($B$10:O10)/(SUM($B$6:O6)+SUM($B$9:O9))),"")</f>
        <v>0.5239622411710035</v>
      </c>
      <c r="P12" s="82">
        <f>IF(P13="Yes",IF(SUM($B$10:P10)/(SUM($B$6:P6)+SUM($B$9:P9))&lt;0,999.99,SUM($B$10:P10)/(SUM($B$6:P6)+SUM($B$9:P9))),"")</f>
        <v>0.5838407471034891</v>
      </c>
      <c r="Q12" s="82">
        <f>IF(Q13="Yes",IF(SUM($B$10:Q10)/(SUM($B$6:Q6)+SUM($B$9:Q9))&lt;0,999.99,SUM($B$10:Q10)/(SUM($B$6:Q6)+SUM($B$9:Q9))),"")</f>
        <v>0.6215211588552002</v>
      </c>
      <c r="R12" s="82">
        <f>IF(R13="Yes",IF(SUM($B$10:R10)/(SUM($B$6:R6)+SUM($B$9:R9))&lt;0,999.99,SUM($B$10:R10)/(SUM($B$6:R6)+SUM($B$9:R9))),"")</f>
        <v>0.658720066295245</v>
      </c>
      <c r="S12" s="82">
        <f>IF(S13="Yes",IF(SUM($B$10:S10)/(SUM($B$6:S6)+SUM($B$9:S9))&lt;0,999.99,SUM($B$10:S10)/(SUM($B$6:S6)+SUM($B$9:S9))),"")</f>
        <v>0.6991238081230576</v>
      </c>
      <c r="T12" s="82">
        <f>IF(T13="Yes",IF(SUM($B$10:T10)/(SUM($B$6:T6)+SUM($B$9:T9))&lt;0,999.99,SUM($B$10:T10)/(SUM($B$6:T6)+SUM($B$9:T9))),"")</f>
        <v>0.7520169681250037</v>
      </c>
      <c r="U12" s="82">
        <f>IF(U13="Yes",IF(SUM($B$10:U10)/(SUM($B$6:U6)+SUM($B$9:U9))&lt;0,999.99,SUM($B$10:U10)/(SUM($B$6:U6)+SUM($B$9:U9))),"")</f>
        <v>0.7544299109832439</v>
      </c>
      <c r="V12" s="82">
        <f>IF(V13="Yes",IF(SUM($B$10:V10)/(SUM($B$6:V6)+SUM($B$9:V9))&lt;0,999.99,SUM($B$10:V10)/(SUM($B$6:V6)+SUM($B$9:V9))),"")</f>
        <v>0.7005471596190076</v>
      </c>
      <c r="W12" s="82">
        <f>IF(W13="Yes",IF(SUM($B$10:W10)/(SUM($B$6:W6)+SUM($B$9:W9))&lt;0,999.99,SUM($B$10:W10)/(SUM($B$6:W6)+SUM($B$9:W9))),"")</f>
        <v>0.7123986348657572</v>
      </c>
      <c r="X12" s="82">
        <f>IF(X13="Yes",IF(SUM($B$10:X10)/(SUM($B$6:X6)+SUM($B$9:X9))&lt;0,999.99,SUM($B$10:X10)/(SUM($B$6:X6)+SUM($B$9:X9))),"")</f>
        <v>0.723526108120745</v>
      </c>
      <c r="Y12" s="82">
        <f>IF(Y13="Yes",IF(SUM($B$10:Y10)/(SUM($B$6:Y6)+SUM($B$9:Y9))&lt;0,999.99,SUM($B$10:Y10)/(SUM($B$6:Y6)+SUM($B$9:Y9))),"")</f>
        <v>0.7339939564958182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94724.33426947831</v>
      </c>
      <c r="J18" s="36">
        <f>V18</f>
        <v>113669.201123374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94724.33426947831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113669.201123374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416787.0707857045</v>
      </c>
      <c r="AA18" s="36">
        <f>SUM(B18:M18)</f>
        <v>208393.5353928523</v>
      </c>
      <c r="AB18" s="36">
        <f>SUM(B18:Y18)</f>
        <v>416787.0707857045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4626.8348</v>
      </c>
      <c r="C20" s="36">
        <f>O20</f>
        <v>4626.8348</v>
      </c>
      <c r="D20" s="36">
        <f>P20</f>
        <v>4626.8348</v>
      </c>
      <c r="E20" s="36">
        <f>Q20</f>
        <v>4626.8348</v>
      </c>
      <c r="F20" s="36">
        <f>R20</f>
        <v>4626.8348</v>
      </c>
      <c r="G20" s="36">
        <f>S20</f>
        <v>4626.8348</v>
      </c>
      <c r="H20" s="36">
        <f>T20</f>
        <v>4626.8348</v>
      </c>
      <c r="I20" s="36">
        <f>U20</f>
        <v>4626.8348</v>
      </c>
      <c r="J20" s="36">
        <f>V20</f>
        <v>4626.8348</v>
      </c>
      <c r="K20" s="36">
        <f>W20</f>
        <v>4626.8348</v>
      </c>
      <c r="L20" s="36">
        <f>X20</f>
        <v>4626.8348</v>
      </c>
      <c r="M20" s="36">
        <f>Y20</f>
        <v>4626.8348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4626.8348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4626.8348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4626.8348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4626.8348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4626.8348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4626.8348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4626.8348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4626.8348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4626.8348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4626.8348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4626.8348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4626.8348</v>
      </c>
      <c r="Z20" s="36">
        <f>SUMIF($B$13:$Y$13,"Yes",B20:Y20)</f>
        <v>111044.0352</v>
      </c>
      <c r="AA20" s="36">
        <f>SUM(B20:M20)</f>
        <v>55522.01759999998</v>
      </c>
      <c r="AB20" s="36">
        <f>SUM(B20:Y20)</f>
        <v>111044.0352</v>
      </c>
    </row>
    <row r="21" spans="1:30">
      <c r="A21" t="str">
        <f>IF(Calculations!A7&lt;&gt;Parameters!$A$18,IF(Calculations!A7=0,"",Calculations!A7),Inputs!B10)</f>
        <v>Sugarcane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1800000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79626.8348</v>
      </c>
      <c r="C30" s="19">
        <f>SUM(C18:C29)</f>
        <v>79626.8348</v>
      </c>
      <c r="D30" s="19">
        <f>SUM(D18:D29)</f>
        <v>79626.8348</v>
      </c>
      <c r="E30" s="19">
        <f>SUM(E18:E29)</f>
        <v>79626.8348</v>
      </c>
      <c r="F30" s="19">
        <f>SUM(F18:F29)</f>
        <v>79626.8348</v>
      </c>
      <c r="G30" s="19">
        <f>SUM(G18:G29)</f>
        <v>79626.8348</v>
      </c>
      <c r="H30" s="19">
        <f>SUM(H18:H29)</f>
        <v>79626.8348</v>
      </c>
      <c r="I30" s="19">
        <f>SUM(I18:I29)</f>
        <v>174351.1690694783</v>
      </c>
      <c r="J30" s="19">
        <f>SUM(J18:J29)</f>
        <v>193296.0359233739</v>
      </c>
      <c r="K30" s="19">
        <f>SUM(K18:K29)</f>
        <v>79626.8348</v>
      </c>
      <c r="L30" s="19">
        <f>SUM(L18:L29)</f>
        <v>79626.8348</v>
      </c>
      <c r="M30" s="19">
        <f>SUM(M18:M29)</f>
        <v>79626.8348</v>
      </c>
      <c r="N30" s="19">
        <f>SUM(N18:N29)</f>
        <v>79626.8348</v>
      </c>
      <c r="O30" s="19">
        <f>SUM(O18:O29)</f>
        <v>79626.8348</v>
      </c>
      <c r="P30" s="19">
        <f>SUM(P18:P29)</f>
        <v>79626.8348</v>
      </c>
      <c r="Q30" s="19">
        <f>SUM(Q18:Q29)</f>
        <v>79626.8348</v>
      </c>
      <c r="R30" s="19">
        <f>SUM(R18:R29)</f>
        <v>79626.8348</v>
      </c>
      <c r="S30" s="19">
        <f>SUM(S18:S29)</f>
        <v>79626.8348</v>
      </c>
      <c r="T30" s="19">
        <f>SUM(T18:T29)</f>
        <v>79626.8348</v>
      </c>
      <c r="U30" s="19">
        <f>SUM(U18:U29)</f>
        <v>174351.1690694783</v>
      </c>
      <c r="V30" s="19">
        <f>SUM(V18:V29)</f>
        <v>193296.0359233739</v>
      </c>
      <c r="W30" s="19">
        <f>SUM(W18:W29)</f>
        <v>79626.8348</v>
      </c>
      <c r="X30" s="19">
        <f>SUM(X18:X29)</f>
        <v>79626.8348</v>
      </c>
      <c r="Y30" s="19">
        <f>SUM(Y18:Y29)</f>
        <v>79626.8348</v>
      </c>
      <c r="Z30" s="19">
        <f>SUMIF($B$13:$Y$13,"Yes",B30:Y30)</f>
        <v>2327831.105985704</v>
      </c>
      <c r="AA30" s="19">
        <f>SUM(B30:M30)</f>
        <v>1163915.552992852</v>
      </c>
      <c r="AB30" s="19">
        <f>SUM(B30:Y30)</f>
        <v>2327831.105985704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83.33333333333333</v>
      </c>
      <c r="C36" s="36">
        <f>O36</f>
        <v>83.33333333333333</v>
      </c>
      <c r="D36" s="36">
        <f>P36</f>
        <v>40083.33333333334</v>
      </c>
      <c r="E36" s="36">
        <f>Q36</f>
        <v>83.33333333333333</v>
      </c>
      <c r="F36" s="36">
        <f>R36</f>
        <v>83.33333333333333</v>
      </c>
      <c r="G36" s="36">
        <f>S36</f>
        <v>83.33333333333333</v>
      </c>
      <c r="H36" s="36">
        <f>T36</f>
        <v>25083.33333333334</v>
      </c>
      <c r="I36" s="36">
        <f>U36</f>
        <v>83.33333333333333</v>
      </c>
      <c r="J36" s="36">
        <f>V36</f>
        <v>83.33333333333333</v>
      </c>
      <c r="K36" s="36">
        <f>W36</f>
        <v>83.33333333333333</v>
      </c>
      <c r="L36" s="36">
        <f>X36</f>
        <v>83.33333333333333</v>
      </c>
      <c r="M36" s="36">
        <f>Y36</f>
        <v>83.33333333333333</v>
      </c>
      <c r="N36" s="36">
        <f>SUM(N37:N41)</f>
        <v>83.33333333333333</v>
      </c>
      <c r="O36" s="36">
        <f>SUM(O37:O41)</f>
        <v>83.33333333333333</v>
      </c>
      <c r="P36" s="36">
        <f>SUM(P37:P41)</f>
        <v>40083.33333333334</v>
      </c>
      <c r="Q36" s="36">
        <f>SUM(Q37:Q41)</f>
        <v>83.33333333333333</v>
      </c>
      <c r="R36" s="36">
        <f>SUM(R37:R41)</f>
        <v>83.33333333333333</v>
      </c>
      <c r="S36" s="36">
        <f>SUM(S37:S41)</f>
        <v>83.33333333333333</v>
      </c>
      <c r="T36" s="36">
        <f>SUM(T37:T41)</f>
        <v>25083.33333333334</v>
      </c>
      <c r="U36" s="36">
        <f>SUM(U37:U41)</f>
        <v>83.33333333333333</v>
      </c>
      <c r="V36" s="36">
        <f>SUM(V37:V41)</f>
        <v>83.33333333333333</v>
      </c>
      <c r="W36" s="36">
        <f>SUM(W37:W41)</f>
        <v>83.33333333333333</v>
      </c>
      <c r="X36" s="36">
        <f>SUM(X37:X41)</f>
        <v>83.33333333333333</v>
      </c>
      <c r="Y36" s="36">
        <f>SUM(Y37:Y41)</f>
        <v>83.33333333333333</v>
      </c>
      <c r="Z36" s="36">
        <f>SUMIF($B$13:$Y$13,"Yes",B36:Y36)</f>
        <v>132000</v>
      </c>
      <c r="AA36" s="36">
        <f>SUM(B36:M36)</f>
        <v>65999.99999999999</v>
      </c>
      <c r="AB36" s="36">
        <f>SUM(B36:Y36)</f>
        <v>132000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40000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80000</v>
      </c>
      <c r="AA37" s="36">
        <f>SUM(B37:M37)</f>
        <v>40000</v>
      </c>
      <c r="AB37" s="36">
        <f>SUM(B37:Y37)</f>
        <v>80000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1000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1000</v>
      </c>
      <c r="AB38" s="36">
        <f>SUM(B38:Y38)</f>
        <v>2000</v>
      </c>
      <c r="AC38" s="73"/>
    </row>
    <row r="39" spans="1:30" hidden="true" outlineLevel="1">
      <c r="A39" s="181" t="str">
        <f>Calculations!$A$6</f>
        <v>Bananas</v>
      </c>
      <c r="B39" s="36">
        <f>N39</f>
        <v>83.33333333333333</v>
      </c>
      <c r="C39" s="36">
        <f>O39</f>
        <v>83.33333333333333</v>
      </c>
      <c r="D39" s="36">
        <f>P39</f>
        <v>83.33333333333333</v>
      </c>
      <c r="E39" s="36">
        <f>Q39</f>
        <v>83.33333333333333</v>
      </c>
      <c r="F39" s="36">
        <f>R39</f>
        <v>83.33333333333333</v>
      </c>
      <c r="G39" s="36">
        <f>S39</f>
        <v>83.33333333333333</v>
      </c>
      <c r="H39" s="36">
        <f>T39</f>
        <v>83.33333333333333</v>
      </c>
      <c r="I39" s="36">
        <f>U39</f>
        <v>83.33333333333333</v>
      </c>
      <c r="J39" s="36">
        <f>V39</f>
        <v>83.33333333333333</v>
      </c>
      <c r="K39" s="36">
        <f>W39</f>
        <v>83.33333333333333</v>
      </c>
      <c r="L39" s="36">
        <f>X39</f>
        <v>83.33333333333333</v>
      </c>
      <c r="M39" s="36">
        <f>Y39</f>
        <v>83.33333333333333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83.33333333333333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83.33333333333333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83.33333333333333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83.33333333333333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83.33333333333333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83.33333333333333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83.33333333333333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83.33333333333333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83.33333333333333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83.33333333333333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83.33333333333333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83.33333333333333</v>
      </c>
      <c r="Z39" s="36">
        <f>SUMIF($B$13:$Y$13,"Yes",B39:Y39)</f>
        <v>1999.999999999999</v>
      </c>
      <c r="AA39" s="36">
        <f>SUM(B39:M39)</f>
        <v>1000</v>
      </c>
      <c r="AB39" s="36">
        <f>SUM(B39:Y39)</f>
        <v>1999.999999999999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14000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14000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28000</v>
      </c>
      <c r="AA40" s="36">
        <f>SUM(B40:M40)</f>
        <v>14000</v>
      </c>
      <c r="AB40" s="36">
        <f>SUM(B40:Y40)</f>
        <v>28000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10000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10000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20000</v>
      </c>
      <c r="AA41" s="36">
        <f>SUM(B41:M41)</f>
        <v>10000</v>
      </c>
      <c r="AB41" s="36">
        <f>SUM(B41:Y41)</f>
        <v>20000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6060.000000000001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6060.000000000001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12120</v>
      </c>
      <c r="AA42" s="36">
        <f>SUM(B42:M42)</f>
        <v>6060.000000000001</v>
      </c>
      <c r="AB42" s="36">
        <f>SUM(B42:Y42)</f>
        <v>12120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6060.000000000001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6060.000000000001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12120</v>
      </c>
      <c r="AA43" s="36">
        <f>SUM(B43:M43)</f>
        <v>6060.000000000001</v>
      </c>
      <c r="AB43" s="36">
        <f>SUM(B43:Y43)</f>
        <v>12120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6000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6000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12000</v>
      </c>
      <c r="AA48" s="46">
        <f>SUM(B48:M48)</f>
        <v>6000</v>
      </c>
      <c r="AB48" s="46">
        <f>SUM(B48:Y48)</f>
        <v>12000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6000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6000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43682.39976336844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43682.39976336844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87364.79952673688</v>
      </c>
      <c r="AA54" s="46">
        <f>SUM(B54:M54)</f>
        <v>43682.39976336844</v>
      </c>
      <c r="AB54" s="46">
        <f>SUM(B54:Y54)</f>
        <v>87364.79952673688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43682.39976336844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43682.39976336844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87364.79952673688</v>
      </c>
      <c r="AA55" s="46">
        <f>SUM(B55:M55)</f>
        <v>43682.39976336844</v>
      </c>
      <c r="AB55" s="46">
        <f>SUM(B55:Y55)</f>
        <v>87364.79952673688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470.0520833333333</v>
      </c>
      <c r="C66" s="36">
        <f>O66</f>
        <v>470.0520833333333</v>
      </c>
      <c r="D66" s="36">
        <f>P66</f>
        <v>36570.05208333334</v>
      </c>
      <c r="E66" s="36">
        <f>Q66</f>
        <v>36570.05208333334</v>
      </c>
      <c r="F66" s="36">
        <f>R66</f>
        <v>36570.05208333334</v>
      </c>
      <c r="G66" s="36">
        <f>S66</f>
        <v>36570.05208333334</v>
      </c>
      <c r="H66" s="36">
        <f>T66</f>
        <v>36570.05208333334</v>
      </c>
      <c r="I66" s="36">
        <f>U66</f>
        <v>36570.05208333334</v>
      </c>
      <c r="J66" s="36">
        <f>V66</f>
        <v>470.0520833333333</v>
      </c>
      <c r="K66" s="36">
        <f>W66</f>
        <v>470.0520833333333</v>
      </c>
      <c r="L66" s="36">
        <f>X66</f>
        <v>470.0520833333333</v>
      </c>
      <c r="M66" s="36">
        <f>Y66</f>
        <v>470.0520833333333</v>
      </c>
      <c r="N66" s="46">
        <f>SUM(N67:N71)</f>
        <v>470.0520833333333</v>
      </c>
      <c r="O66" s="46">
        <f>SUM(O67:O71)</f>
        <v>470.0520833333333</v>
      </c>
      <c r="P66" s="46">
        <f>SUM(P67:P71)</f>
        <v>36570.05208333334</v>
      </c>
      <c r="Q66" s="46">
        <f>SUM(Q67:Q71)</f>
        <v>36570.05208333334</v>
      </c>
      <c r="R66" s="46">
        <f>SUM(R67:R71)</f>
        <v>36570.05208333334</v>
      </c>
      <c r="S66" s="46">
        <f>SUM(S67:S71)</f>
        <v>36570.05208333334</v>
      </c>
      <c r="T66" s="46">
        <f>SUM(T67:T71)</f>
        <v>36570.05208333334</v>
      </c>
      <c r="U66" s="46">
        <f>SUM(U67:U71)</f>
        <v>36570.05208333334</v>
      </c>
      <c r="V66" s="46">
        <f>SUM(V67:V71)</f>
        <v>470.0520833333333</v>
      </c>
      <c r="W66" s="46">
        <f>SUM(W67:W71)</f>
        <v>470.0520833333333</v>
      </c>
      <c r="X66" s="46">
        <f>SUM(X67:X71)</f>
        <v>470.0520833333333</v>
      </c>
      <c r="Y66" s="46">
        <f>SUM(Y67:Y71)</f>
        <v>470.0520833333333</v>
      </c>
      <c r="Z66" s="46">
        <f>SUMIF($B$13:$Y$13,"Yes",B66:Y66)</f>
        <v>444481.2499999999</v>
      </c>
      <c r="AA66" s="46">
        <f>SUM(B66:M66)</f>
        <v>222240.6250000001</v>
      </c>
      <c r="AB66" s="46">
        <f>SUM(B66:Y66)</f>
        <v>444481.2499999999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36100</v>
      </c>
      <c r="E67" s="36">
        <f>Q67</f>
        <v>36100</v>
      </c>
      <c r="F67" s="36">
        <f>R67</f>
        <v>36100</v>
      </c>
      <c r="G67" s="36">
        <f>S67</f>
        <v>36100</v>
      </c>
      <c r="H67" s="36">
        <f>T67</f>
        <v>36100</v>
      </c>
      <c r="I67" s="36">
        <f>U67</f>
        <v>36100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36100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36100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36100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36100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36100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36100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433200</v>
      </c>
      <c r="AA67" s="46">
        <f>SUM(B67:M67)</f>
        <v>216600</v>
      </c>
      <c r="AB67" s="46">
        <f>SUM(B67:Y67)</f>
        <v>433200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Bananas</v>
      </c>
      <c r="B69" s="36">
        <f>N69</f>
        <v>470.0520833333333</v>
      </c>
      <c r="C69" s="36">
        <f>O69</f>
        <v>470.0520833333333</v>
      </c>
      <c r="D69" s="36">
        <f>P69</f>
        <v>470.0520833333333</v>
      </c>
      <c r="E69" s="36">
        <f>Q69</f>
        <v>470.0520833333333</v>
      </c>
      <c r="F69" s="36">
        <f>R69</f>
        <v>470.0520833333333</v>
      </c>
      <c r="G69" s="36">
        <f>S69</f>
        <v>470.0520833333333</v>
      </c>
      <c r="H69" s="36">
        <f>T69</f>
        <v>470.0520833333333</v>
      </c>
      <c r="I69" s="36">
        <f>U69</f>
        <v>470.0520833333333</v>
      </c>
      <c r="J69" s="36">
        <f>V69</f>
        <v>470.0520833333333</v>
      </c>
      <c r="K69" s="36">
        <f>W69</f>
        <v>470.0520833333333</v>
      </c>
      <c r="L69" s="36">
        <f>X69</f>
        <v>470.0520833333333</v>
      </c>
      <c r="M69" s="36">
        <f>Y69</f>
        <v>470.0520833333333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470.0520833333333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470.0520833333333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470.0520833333333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470.0520833333333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470.0520833333333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470.0520833333333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470.0520833333333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470.0520833333333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470.0520833333333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470.0520833333333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470.0520833333333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470.0520833333333</v>
      </c>
      <c r="Z69" s="46">
        <f>SUMIF($B$13:$Y$13,"Yes",B69:Y69)</f>
        <v>11281.25</v>
      </c>
      <c r="AA69" s="46">
        <f>SUM(B69:M69)</f>
        <v>5640.624999999999</v>
      </c>
      <c r="AB69" s="46">
        <f>SUM(B69:Y69)</f>
        <v>11281.25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14000</v>
      </c>
      <c r="C79" s="46">
        <f>Inputs!$B$31</f>
        <v>14000</v>
      </c>
      <c r="D79" s="46">
        <f>Inputs!$B$31</f>
        <v>14000</v>
      </c>
      <c r="E79" s="46">
        <f>Inputs!$B$31</f>
        <v>14000</v>
      </c>
      <c r="F79" s="46">
        <f>Inputs!$B$31</f>
        <v>14000</v>
      </c>
      <c r="G79" s="46">
        <f>Inputs!$B$31</f>
        <v>14000</v>
      </c>
      <c r="H79" s="46">
        <f>Inputs!$B$31</f>
        <v>14000</v>
      </c>
      <c r="I79" s="46">
        <f>Inputs!$B$31</f>
        <v>14000</v>
      </c>
      <c r="J79" s="46">
        <f>Inputs!$B$31</f>
        <v>14000</v>
      </c>
      <c r="K79" s="46">
        <f>Inputs!$B$31</f>
        <v>14000</v>
      </c>
      <c r="L79" s="46">
        <f>Inputs!$B$31</f>
        <v>14000</v>
      </c>
      <c r="M79" s="46">
        <f>Inputs!$B$31</f>
        <v>14000</v>
      </c>
      <c r="N79" s="46">
        <f>Inputs!$B$31</f>
        <v>14000</v>
      </c>
      <c r="O79" s="46">
        <f>Inputs!$B$31</f>
        <v>14000</v>
      </c>
      <c r="P79" s="46">
        <f>Inputs!$B$31</f>
        <v>14000</v>
      </c>
      <c r="Q79" s="46">
        <f>Inputs!$B$31</f>
        <v>14000</v>
      </c>
      <c r="R79" s="46">
        <f>Inputs!$B$31</f>
        <v>14000</v>
      </c>
      <c r="S79" s="46">
        <f>Inputs!$B$31</f>
        <v>14000</v>
      </c>
      <c r="T79" s="46">
        <f>Inputs!$B$31</f>
        <v>14000</v>
      </c>
      <c r="U79" s="46">
        <f>Inputs!$B$31</f>
        <v>14000</v>
      </c>
      <c r="V79" s="46">
        <f>Inputs!$B$31</f>
        <v>14000</v>
      </c>
      <c r="W79" s="46">
        <f>Inputs!$B$31</f>
        <v>14000</v>
      </c>
      <c r="X79" s="46">
        <f>Inputs!$B$31</f>
        <v>14000</v>
      </c>
      <c r="Y79" s="46">
        <f>Inputs!$B$31</f>
        <v>14000</v>
      </c>
      <c r="Z79" s="46">
        <f>SUMIF($B$13:$Y$13,"Yes",B79:Y79)</f>
        <v>336000</v>
      </c>
      <c r="AA79" s="46">
        <f>SUM(B79:M79)</f>
        <v>168000</v>
      </c>
      <c r="AB79" s="46">
        <f>SUM(B79:Y79)</f>
        <v>336000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120000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120000</v>
      </c>
      <c r="AA80" s="46">
        <f>SUM(B80:M80)</f>
        <v>120000</v>
      </c>
      <c r="AB80" s="46">
        <f>SUM(B80:Y80)</f>
        <v>120000</v>
      </c>
    </row>
    <row r="81" spans="1:30">
      <c r="A81" s="43" t="s">
        <v>51</v>
      </c>
      <c r="B81" s="46">
        <f>(SUM($AA$18:$AA$29)-SUM($AA$36,$AA$42,$AA$48,$AA$54,$AA$60,$AA$66,$AA$72:$AA$79))*Parameters!$B$37/12</f>
        <v>21731.08427431612</v>
      </c>
      <c r="C81" s="46">
        <f>(SUM($AA$18:$AA$29)-SUM($AA$36,$AA$42,$AA$48,$AA$54,$AA$60,$AA$66,$AA$72:$AA$79))*Parameters!$B$37/12</f>
        <v>21731.08427431612</v>
      </c>
      <c r="D81" s="46">
        <f>(SUM($AA$18:$AA$29)-SUM($AA$36,$AA$42,$AA$48,$AA$54,$AA$60,$AA$66,$AA$72:$AA$79))*Parameters!$B$37/12</f>
        <v>21731.08427431612</v>
      </c>
      <c r="E81" s="46">
        <f>(SUM($AA$18:$AA$29)-SUM($AA$36,$AA$42,$AA$48,$AA$54,$AA$60,$AA$66,$AA$72:$AA$79))*Parameters!$B$37/12</f>
        <v>21731.08427431612</v>
      </c>
      <c r="F81" s="46">
        <f>(SUM($AA$18:$AA$29)-SUM($AA$36,$AA$42,$AA$48,$AA$54,$AA$60,$AA$66,$AA$72:$AA$79))*Parameters!$B$37/12</f>
        <v>21731.08427431612</v>
      </c>
      <c r="G81" s="46">
        <f>(SUM($AA$18:$AA$29)-SUM($AA$36,$AA$42,$AA$48,$AA$54,$AA$60,$AA$66,$AA$72:$AA$79))*Parameters!$B$37/12</f>
        <v>21731.08427431612</v>
      </c>
      <c r="H81" s="46">
        <f>(SUM($AA$18:$AA$29)-SUM($AA$36,$AA$42,$AA$48,$AA$54,$AA$60,$AA$66,$AA$72:$AA$79))*Parameters!$B$37/12</f>
        <v>21731.08427431612</v>
      </c>
      <c r="I81" s="46">
        <f>(SUM($AA$18:$AA$29)-SUM($AA$36,$AA$42,$AA$48,$AA$54,$AA$60,$AA$66,$AA$72:$AA$79))*Parameters!$B$37/12</f>
        <v>21731.08427431612</v>
      </c>
      <c r="J81" s="46">
        <f>(SUM($AA$18:$AA$29)-SUM($AA$36,$AA$42,$AA$48,$AA$54,$AA$60,$AA$66,$AA$72:$AA$79))*Parameters!$B$37/12</f>
        <v>21731.08427431612</v>
      </c>
      <c r="K81" s="46">
        <f>(SUM($AA$18:$AA$29)-SUM($AA$36,$AA$42,$AA$48,$AA$54,$AA$60,$AA$66,$AA$72:$AA$79))*Parameters!$B$37/12</f>
        <v>21731.08427431612</v>
      </c>
      <c r="L81" s="46">
        <f>(SUM($AA$18:$AA$29)-SUM($AA$36,$AA$42,$AA$48,$AA$54,$AA$60,$AA$66,$AA$72:$AA$79))*Parameters!$B$37/12</f>
        <v>21731.08427431612</v>
      </c>
      <c r="M81" s="46">
        <f>(SUM($AA$18:$AA$29)-SUM($AA$36,$AA$42,$AA$48,$AA$54,$AA$60,$AA$66,$AA$72:$AA$79))*Parameters!$B$37/12</f>
        <v>21731.08427431612</v>
      </c>
      <c r="N81" s="46">
        <f>(SUM($AA$18:$AA$29)-SUM($AA$36,$AA$42,$AA$48,$AA$54,$AA$60,$AA$66,$AA$72:$AA$79))*Parameters!$B$37/12</f>
        <v>21731.08427431612</v>
      </c>
      <c r="O81" s="46">
        <f>(SUM($AA$18:$AA$29)-SUM($AA$36,$AA$42,$AA$48,$AA$54,$AA$60,$AA$66,$AA$72:$AA$79))*Parameters!$B$37/12</f>
        <v>21731.08427431612</v>
      </c>
      <c r="P81" s="46">
        <f>(SUM($AA$18:$AA$29)-SUM($AA$36,$AA$42,$AA$48,$AA$54,$AA$60,$AA$66,$AA$72:$AA$79))*Parameters!$B$37/12</f>
        <v>21731.08427431612</v>
      </c>
      <c r="Q81" s="46">
        <f>(SUM($AA$18:$AA$29)-SUM($AA$36,$AA$42,$AA$48,$AA$54,$AA$60,$AA$66,$AA$72:$AA$79))*Parameters!$B$37/12</f>
        <v>21731.08427431612</v>
      </c>
      <c r="R81" s="46">
        <f>(SUM($AA$18:$AA$29)-SUM($AA$36,$AA$42,$AA$48,$AA$54,$AA$60,$AA$66,$AA$72:$AA$79))*Parameters!$B$37/12</f>
        <v>21731.08427431612</v>
      </c>
      <c r="S81" s="46">
        <f>(SUM($AA$18:$AA$29)-SUM($AA$36,$AA$42,$AA$48,$AA$54,$AA$60,$AA$66,$AA$72:$AA$79))*Parameters!$B$37/12</f>
        <v>21731.08427431612</v>
      </c>
      <c r="T81" s="46">
        <f>(SUM($AA$18:$AA$29)-SUM($AA$36,$AA$42,$AA$48,$AA$54,$AA$60,$AA$66,$AA$72:$AA$79))*Parameters!$B$37/12</f>
        <v>21731.08427431612</v>
      </c>
      <c r="U81" s="46">
        <f>(SUM($AA$18:$AA$29)-SUM($AA$36,$AA$42,$AA$48,$AA$54,$AA$60,$AA$66,$AA$72:$AA$79))*Parameters!$B$37/12</f>
        <v>21731.08427431612</v>
      </c>
      <c r="V81" s="46">
        <f>(SUM($AA$18:$AA$29)-SUM($AA$36,$AA$42,$AA$48,$AA$54,$AA$60,$AA$66,$AA$72:$AA$79))*Parameters!$B$37/12</f>
        <v>21731.08427431612</v>
      </c>
      <c r="W81" s="46">
        <f>(SUM($AA$18:$AA$29)-SUM($AA$36,$AA$42,$AA$48,$AA$54,$AA$60,$AA$66,$AA$72:$AA$79))*Parameters!$B$37/12</f>
        <v>21731.08427431612</v>
      </c>
      <c r="X81" s="46">
        <f>(SUM($AA$18:$AA$29)-SUM($AA$36,$AA$42,$AA$48,$AA$54,$AA$60,$AA$66,$AA$72:$AA$79))*Parameters!$B$37/12</f>
        <v>21731.08427431612</v>
      </c>
      <c r="Y81" s="46">
        <f>(SUM($AA$18:$AA$29)-SUM($AA$36,$AA$42,$AA$48,$AA$54,$AA$60,$AA$66,$AA$72:$AA$79))*Parameters!$B$37/12</f>
        <v>21731.08427431612</v>
      </c>
      <c r="Z81" s="46">
        <f>SUMIF($B$13:$Y$13,"Yes",B81:Y81)</f>
        <v>521546.0225835872</v>
      </c>
      <c r="AA81" s="46">
        <f>SUM(B81:M81)</f>
        <v>260773.0112917935</v>
      </c>
      <c r="AB81" s="46">
        <f>SUM(B81:Y81)</f>
        <v>521546.0225835872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36284.46969098279</v>
      </c>
      <c r="C88" s="19">
        <f>SUM(C72:C82,C66,C60,C54,C48,C42,C36)</f>
        <v>36284.46969098279</v>
      </c>
      <c r="D88" s="19">
        <f>SUM(D72:D82,D66,D60,D54,D48,D42,D36)</f>
        <v>238444.4696909828</v>
      </c>
      <c r="E88" s="19">
        <f>SUM(E72:E82,E66,E60,E54,E48,E42,E36)</f>
        <v>72384.46969098279</v>
      </c>
      <c r="F88" s="19">
        <f>SUM(F72:F82,F66,F60,F54,F48,F42,F36)</f>
        <v>72384.46969098279</v>
      </c>
      <c r="G88" s="19">
        <f>SUM(G72:G82,G66,G60,G54,G48,G42,G36)</f>
        <v>78384.46969098279</v>
      </c>
      <c r="H88" s="19">
        <f>SUM(H72:H82,H66,H60,H54,H48,H42,H36)</f>
        <v>97384.46969098281</v>
      </c>
      <c r="I88" s="19">
        <f>SUM(I72:I82,I66,I60,I54,I48,I42,I36)</f>
        <v>116066.8694543512</v>
      </c>
      <c r="J88" s="19">
        <f>SUM(J72:J82,J66,J60,J54,J48,J42,J36)</f>
        <v>36284.46969098279</v>
      </c>
      <c r="K88" s="19">
        <f>SUM(K72:K82,K66,K60,K54,K48,K42,K36)</f>
        <v>36284.46969098279</v>
      </c>
      <c r="L88" s="19">
        <f>SUM(L72:L82,L66,L60,L54,L48,L42,L36)</f>
        <v>36284.46969098279</v>
      </c>
      <c r="M88" s="19">
        <f>SUM(M72:M82,M66,M60,M54,M48,M42,M36)</f>
        <v>36284.46969098279</v>
      </c>
      <c r="N88" s="19">
        <f>SUM(N72:N82,N66,N60,N54,N48,N42,N36)</f>
        <v>36284.46969098279</v>
      </c>
      <c r="O88" s="19">
        <f>SUM(O72:O82,O66,O60,O54,O48,O42,O36)</f>
        <v>36284.46969098279</v>
      </c>
      <c r="P88" s="19">
        <f>SUM(P72:P82,P66,P60,P54,P48,P42,P36)</f>
        <v>118444.4696909828</v>
      </c>
      <c r="Q88" s="19">
        <f>SUM(Q72:Q82,Q66,Q60,Q54,Q48,Q42,Q36)</f>
        <v>72384.46969098279</v>
      </c>
      <c r="R88" s="19">
        <f>SUM(R72:R82,R66,R60,R54,R48,R42,R36)</f>
        <v>72384.46969098279</v>
      </c>
      <c r="S88" s="19">
        <f>SUM(S72:S82,S66,S60,S54,S48,S42,S36)</f>
        <v>78384.46969098279</v>
      </c>
      <c r="T88" s="19">
        <f>SUM(T72:T82,T66,T60,T54,T48,T42,T36)</f>
        <v>97384.46969098281</v>
      </c>
      <c r="U88" s="19">
        <f>SUM(U72:U82,U66,U60,U54,U48,U42,U36)</f>
        <v>116066.8694543512</v>
      </c>
      <c r="V88" s="19">
        <f>SUM(V72:V82,V66,V60,V54,V48,V42,V36)</f>
        <v>36284.46969098279</v>
      </c>
      <c r="W88" s="19">
        <f>SUM(W72:W82,W66,W60,W54,W48,W42,W36)</f>
        <v>36284.46969098279</v>
      </c>
      <c r="X88" s="19">
        <f>SUM(X72:X82,X66,X60,X54,X48,X42,X36)</f>
        <v>36284.46969098279</v>
      </c>
      <c r="Y88" s="19">
        <f>SUM(Y72:Y82,Y66,Y60,Y54,Y48,Y42,Y36)</f>
        <v>36284.46969098279</v>
      </c>
      <c r="Z88" s="19">
        <f>SUMIF($B$13:$Y$13,"Yes",B88:Y88)</f>
        <v>1665512.072110324</v>
      </c>
      <c r="AA88" s="19">
        <f>SUM(B88:M88)</f>
        <v>892756.0360551622</v>
      </c>
      <c r="AB88" s="19">
        <f>SUM(B88:Y88)</f>
        <v>1665512.072110324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138000000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139865000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10650</v>
      </c>
    </row>
    <row r="106" spans="1:30" customHeight="1" ht="15.75">
      <c r="A106" s="18" t="s">
        <v>71</v>
      </c>
      <c r="B106" s="37">
        <f>Calculations!G35</f>
        <v>800000</v>
      </c>
    </row>
    <row r="107" spans="1:30" customHeight="1" ht="15.75">
      <c r="A107" s="1" t="s">
        <v>72</v>
      </c>
      <c r="B107" s="19">
        <f>SUM(B104:B106)</f>
        <v>812650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0.5</v>
      </c>
      <c r="D8" s="16"/>
      <c r="E8" s="147" t="s">
        <v>96</v>
      </c>
      <c r="F8" s="149" t="s">
        <v>97</v>
      </c>
      <c r="G8" s="147"/>
      <c r="H8" s="147" t="s">
        <v>93</v>
      </c>
      <c r="I8" s="147" t="s">
        <v>93</v>
      </c>
      <c r="J8" s="148" t="s">
        <v>98</v>
      </c>
      <c r="K8" s="138"/>
      <c r="L8" s="16"/>
      <c r="M8" s="165">
        <v>0</v>
      </c>
      <c r="N8" s="154">
        <v>0</v>
      </c>
    </row>
    <row r="9" spans="1:48">
      <c r="A9" s="143" t="s">
        <v>99</v>
      </c>
      <c r="B9" s="16"/>
      <c r="C9" s="143">
        <v>0.5</v>
      </c>
      <c r="D9" s="16"/>
      <c r="E9" s="147" t="s">
        <v>96</v>
      </c>
      <c r="F9" s="149" t="s">
        <v>97</v>
      </c>
      <c r="G9" s="147"/>
      <c r="H9" s="147" t="s">
        <v>93</v>
      </c>
      <c r="I9" s="147" t="s">
        <v>93</v>
      </c>
      <c r="J9" s="148" t="s">
        <v>100</v>
      </c>
      <c r="K9" s="138"/>
      <c r="L9" s="16"/>
      <c r="M9" s="165">
        <v>20</v>
      </c>
      <c r="N9" s="154">
        <v>0</v>
      </c>
    </row>
    <row r="10" spans="1:48">
      <c r="A10" s="143" t="s">
        <v>95</v>
      </c>
      <c r="B10" s="16" t="s">
        <v>101</v>
      </c>
      <c r="C10" s="143">
        <v>7</v>
      </c>
      <c r="D10" s="16">
        <v>120</v>
      </c>
      <c r="E10" s="147" t="s">
        <v>96</v>
      </c>
      <c r="F10" s="149" t="s">
        <v>91</v>
      </c>
      <c r="G10" s="147"/>
      <c r="H10" s="147" t="s">
        <v>93</v>
      </c>
      <c r="I10" s="147" t="s">
        <v>102</v>
      </c>
      <c r="J10" s="148" t="s">
        <v>103</v>
      </c>
      <c r="K10" s="138" t="s">
        <v>104</v>
      </c>
      <c r="L10" s="16">
        <v>3800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5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103</v>
      </c>
      <c r="K11" s="119"/>
      <c r="L11" s="23"/>
      <c r="M11" s="167">
        <v>0</v>
      </c>
      <c r="N11" s="155">
        <v>1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106</v>
      </c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0" t="s">
        <v>112</v>
      </c>
      <c r="H18" s="10" t="s">
        <v>113</v>
      </c>
      <c r="I18" s="10" t="s">
        <v>114</v>
      </c>
      <c r="J18" s="10" t="s">
        <v>115</v>
      </c>
      <c r="K18" s="10" t="s">
        <v>116</v>
      </c>
      <c r="L18" s="10" t="s">
        <v>117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5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75000</v>
      </c>
    </row>
    <row r="31" spans="1:48">
      <c r="A31" s="5" t="s">
        <v>124</v>
      </c>
      <c r="B31" s="158">
        <v>14000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 t="s">
        <v>130</v>
      </c>
      <c r="B35" s="159">
        <v>120000</v>
      </c>
      <c r="C35" s="145" t="s">
        <v>94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450000</v>
      </c>
    </row>
    <row r="46" spans="1:48" customHeight="1" ht="30">
      <c r="A46" s="57" t="s">
        <v>139</v>
      </c>
      <c r="B46" s="161">
        <v>300000</v>
      </c>
    </row>
    <row r="47" spans="1:48" customHeight="1" ht="30">
      <c r="A47" s="57" t="s">
        <v>140</v>
      </c>
      <c r="B47" s="161">
        <v>250000</v>
      </c>
    </row>
    <row r="48" spans="1:48" customHeight="1" ht="30">
      <c r="A48" s="57" t="s">
        <v>141</v>
      </c>
      <c r="B48" s="161">
        <v>800000</v>
      </c>
    </row>
    <row r="49" spans="1:48" customHeight="1" ht="30">
      <c r="A49" s="57" t="s">
        <v>142</v>
      </c>
      <c r="B49" s="161">
        <v>65000</v>
      </c>
    </row>
    <row r="50" spans="1:48">
      <c r="A50" s="43"/>
      <c r="B50" s="36"/>
    </row>
    <row r="51" spans="1:48">
      <c r="A51" s="58" t="s">
        <v>143</v>
      </c>
      <c r="B51" s="161">
        <v>2000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10000</v>
      </c>
      <c r="B56" s="159">
        <v>10650</v>
      </c>
      <c r="C56" s="162" t="s">
        <v>151</v>
      </c>
      <c r="D56" s="163" t="s">
        <v>152</v>
      </c>
      <c r="E56" s="163" t="s">
        <v>92</v>
      </c>
      <c r="F56" s="163" t="s">
        <v>153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155</v>
      </c>
      <c r="C65" s="10" t="s">
        <v>156</v>
      </c>
    </row>
    <row r="66" spans="1:48">
      <c r="A66" s="142" t="s">
        <v>157</v>
      </c>
      <c r="B66" s="159">
        <v>73320</v>
      </c>
      <c r="C66" s="163">
        <v>70870</v>
      </c>
      <c r="D66" s="49">
        <f>INDEX(Parameters!$D$79:$D$90,MATCH(Inputs!A66,Parameters!$C$79:$C$90,0))</f>
        <v>9</v>
      </c>
    </row>
    <row r="67" spans="1:48">
      <c r="A67" s="143" t="s">
        <v>158</v>
      </c>
      <c r="B67" s="157">
        <v>62935</v>
      </c>
      <c r="C67" s="165">
        <v>52730</v>
      </c>
      <c r="D67" s="49">
        <f>INDEX(Parameters!$D$79:$D$90,MATCH(Inputs!A67,Parameters!$C$79:$C$90,0))</f>
        <v>8</v>
      </c>
    </row>
    <row r="68" spans="1:48">
      <c r="A68" s="143" t="s">
        <v>159</v>
      </c>
      <c r="B68" s="157">
        <v>120200</v>
      </c>
      <c r="C68" s="165">
        <v>125765</v>
      </c>
      <c r="D68" s="49">
        <f>INDEX(Parameters!$D$79:$D$90,MATCH(Inputs!A68,Parameters!$C$79:$C$90,0))</f>
        <v>7</v>
      </c>
    </row>
    <row r="69" spans="1:48">
      <c r="A69" s="143" t="s">
        <v>160</v>
      </c>
      <c r="B69" s="157">
        <v>509510</v>
      </c>
      <c r="C69" s="165">
        <v>442770</v>
      </c>
      <c r="D69" s="49">
        <f>INDEX(Parameters!$D$79:$D$90,MATCH(Inputs!A69,Parameters!$C$79:$C$90,0))</f>
        <v>6</v>
      </c>
    </row>
    <row r="70" spans="1:48">
      <c r="A70" s="143" t="s">
        <v>98</v>
      </c>
      <c r="B70" s="157">
        <v>330020</v>
      </c>
      <c r="C70" s="165">
        <v>231190</v>
      </c>
      <c r="D70" s="49">
        <f>INDEX(Parameters!$D$79:$D$90,MATCH(Inputs!A70,Parameters!$C$79:$C$90,0))</f>
        <v>5</v>
      </c>
    </row>
    <row r="71" spans="1:48">
      <c r="A71" s="144" t="s">
        <v>161</v>
      </c>
      <c r="B71" s="158">
        <v>188450</v>
      </c>
      <c r="C71" s="167">
        <v>231190</v>
      </c>
      <c r="D71" s="49">
        <f>INDEX(Parameters!$D$79:$D$90,MATCH(Inputs!A71,Parameters!$C$79:$C$90,0))</f>
        <v>4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7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800000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24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9496.173861601836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189448.6685389566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21841.19988168422</v>
      </c>
      <c r="AB4" s="33">
        <f>H4*IFERROR(INDEX(Parameters!$A$3:$AI$17,MATCH(Calculations!A4,Parameters!$A$3:$A$17,0),MATCH(Parameters!$O$3,Parameters!$A$3:$AI$3,0)),AVERAGE(Parameters!$O$4:$O$17))*(1-Inputs!$B$25/100)</f>
        <v>114000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43221</v>
      </c>
      <c r="C5" s="39">
        <f>IFERROR(DATE(YEAR(B5),MONTH(B5)+ROUND(T5/2,0),DAY(B5)),B5)</f>
        <v>43221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0.5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Bananas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0.5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6609.764</v>
      </c>
      <c r="M6" s="30">
        <f>L6*H6</f>
        <v>3304.882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55522.0176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1000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5937.5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43221</v>
      </c>
      <c r="C7" s="39">
        <f>IFERROR(DATE(YEAR(B7),MONTH(B7)+ROUND(T7/2,0),DAY(B7)),B7)</f>
        <v>43221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7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17.14285714285714</v>
      </c>
      <c r="M7" s="30">
        <f>L7*H7</f>
        <v>120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3800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14000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43221</v>
      </c>
      <c r="C8" s="40">
        <f>IFERROR(DATE(YEAR(B8),MONTH(B8)+ROUND(T8/2,0),DAY(B8)),B8)</f>
        <v>43221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5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10000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106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10000</v>
      </c>
      <c r="B23" s="75">
        <f>SUM(C23:D23)</f>
        <v>-28.62318840579709</v>
      </c>
      <c r="C23" s="75">
        <f>IF(Inputs!B56&gt;0,(Inputs!A56-Inputs!B56)/(DATE(YEAR(Inputs!$B$76),MONTH(Inputs!$B$76),DAY(Inputs!$B$76))-DATE(YEAR(Inputs!C56),MONTH(Inputs!C56),DAY(Inputs!C56)))*30,0)</f>
        <v>-211.9565217391304</v>
      </c>
      <c r="D23" s="75">
        <f>IF(Inputs!B56&gt;0,Inputs!A56*0.22/12,0)</f>
        <v>183.3333333333333</v>
      </c>
      <c r="E23" s="75">
        <f>IFERROR(ROUNDUP(Inputs!B56/C23,0),0)</f>
        <v>-51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43082</v>
      </c>
      <c r="C33" s="27">
        <f>IF(B33&lt;&gt;"",IF(COUNT($A$33:A33)&lt;=$G$39,0,$G$41)+IF(COUNT($A$33:A33)&lt;=$G$40,0,$G$42),0)</f>
        <v>46666.66666666667</v>
      </c>
      <c r="D33" s="170">
        <f>IFERROR(DATE(YEAR(B33),MONTH(B33),1)," ")</f>
        <v>43070</v>
      </c>
      <c r="F33" t="s">
        <v>167</v>
      </c>
      <c r="G33" s="128">
        <f>IF(Inputs!B79="","",DATE(YEAR(Inputs!B79),MONTH(Inputs!B79),DAY(Inputs!B79)))</f>
        <v>43052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43113</v>
      </c>
      <c r="C34" s="27">
        <f>IF(B34&lt;&gt;"",IF(COUNT($A$33:A34)&lt;=$G$39,0,$G$41)+IF(COUNT($A$33:A34)&lt;=$G$40,0,$G$42),0)</f>
        <v>46666.66666666667</v>
      </c>
      <c r="D34" s="170">
        <f>IFERROR(DATE(YEAR(B34),MONTH(B34),1)," ")</f>
        <v>43101</v>
      </c>
      <c r="F34" t="s">
        <v>168</v>
      </c>
      <c r="G34" s="128">
        <f>IF(Inputs!B80="","",DATE(YEAR(Inputs!B80),MONTH(Inputs!B80),DAY(Inputs!B80)))</f>
        <v>43082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43144</v>
      </c>
      <c r="C35" s="27">
        <f>IF(B35&lt;&gt;"",IF(COUNT($A$33:A35)&lt;=$G$39,0,$G$41)+IF(COUNT($A$33:A35)&lt;=$G$40,0,$G$42),0)</f>
        <v>46666.66666666667</v>
      </c>
      <c r="D35" s="170">
        <f>IFERROR(DATE(YEAR(B35),MONTH(B35),1)," ")</f>
        <v>43132</v>
      </c>
      <c r="F35" t="s">
        <v>170</v>
      </c>
      <c r="G35" s="27">
        <f>Inputs!B81</f>
        <v>800000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43172</v>
      </c>
      <c r="C36" s="27">
        <f>IF(B36&lt;&gt;"",IF(COUNT($A$33:A36)&lt;=$G$39,0,$G$41)+IF(COUNT($A$33:A36)&lt;=$G$40,0,$G$42),0)</f>
        <v>46666.66666666667</v>
      </c>
      <c r="D36" s="170">
        <f>IFERROR(DATE(YEAR(B36),MONTH(B36),1)," ")</f>
        <v>43160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43203</v>
      </c>
      <c r="C37" s="27">
        <f>IF(B37&lt;&gt;"",IF(COUNT($A$33:A37)&lt;=$G$39,0,$G$41)+IF(COUNT($A$33:A37)&lt;=$G$40,0,$G$42),0)</f>
        <v>46666.66666666667</v>
      </c>
      <c r="D37" s="170">
        <f>IFERROR(DATE(YEAR(B37),MONTH(B37),1)," ")</f>
        <v>43191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43233</v>
      </c>
      <c r="C38" s="27">
        <f>IF(B38&lt;&gt;"",IF(COUNT($A$33:A38)&lt;=$G$39,0,$G$41)+IF(COUNT($A$33:A38)&lt;=$G$40,0,$G$42),0)</f>
        <v>46666.66666666667</v>
      </c>
      <c r="D38" s="170">
        <f>IFERROR(DATE(YEAR(B38),MONTH(B38),1)," ")</f>
        <v>43221</v>
      </c>
      <c r="F38" t="s">
        <v>233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43264</v>
      </c>
      <c r="C39" s="27">
        <f>IF(B39&lt;&gt;"",IF(COUNT($A$33:A39)&lt;=$G$39,0,$G$41)+IF(COUNT($A$33:A39)&lt;=$G$40,0,$G$42),0)</f>
        <v>46666.66666666667</v>
      </c>
      <c r="D39" s="170">
        <f>IFERROR(DATE(YEAR(B39),MONTH(B39),1)," ")</f>
        <v>43252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43294</v>
      </c>
      <c r="C40" s="27">
        <f>IF(B40&lt;&gt;"",IF(COUNT($A$33:A40)&lt;=$G$39,0,$G$41)+IF(COUNT($A$33:A40)&lt;=$G$40,0,$G$42),0)</f>
        <v>46666.66666666667</v>
      </c>
      <c r="D40" s="170">
        <f>IFERROR(DATE(YEAR(B40),MONTH(B40),1)," ")</f>
        <v>43282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43325</v>
      </c>
      <c r="C41" s="27">
        <f>IF(B41&lt;&gt;"",IF(COUNT($A$33:A41)&lt;=$G$39,0,$G$41)+IF(COUNT($A$33:A41)&lt;=$G$40,0,$G$42),0)</f>
        <v>46666.66666666667</v>
      </c>
      <c r="D41" s="170">
        <f>IFERROR(DATE(YEAR(B41),MONTH(B41),1)," ")</f>
        <v>43313</v>
      </c>
      <c r="F41" t="s">
        <v>234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43356</v>
      </c>
      <c r="C42" s="27">
        <f>IF(B42&lt;&gt;"",IF(COUNT($A$33:A42)&lt;=$G$39,0,$G$41)+IF(COUNT($A$33:A42)&lt;=$G$40,0,$G$42),0)</f>
        <v>46666.66666666667</v>
      </c>
      <c r="D42" s="170">
        <f>IFERROR(DATE(YEAR(B42),MONTH(B42),1)," ")</f>
        <v>43344</v>
      </c>
      <c r="F42" t="s">
        <v>235</v>
      </c>
      <c r="G42" s="73">
        <f>IFERROR(G35*G36*IF(G37="Monthly",G38/12,IF(G37="Fortnightly",G38/(365/14),G38/(365/28)))/(G38-G40),"")</f>
        <v>13333.33333333333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43386</v>
      </c>
      <c r="C43" s="27">
        <f>IF(B43&lt;&gt;"",IF(COUNT($A$33:A43)&lt;=$G$39,0,$G$41)+IF(COUNT($A$33:A43)&lt;=$G$40,0,$G$42),0)</f>
        <v>46666.66666666667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43417</v>
      </c>
      <c r="C44" s="27">
        <f>IF(B44&lt;&gt;"",IF(COUNT($A$33:A44)&lt;=$G$39,0,$G$41)+IF(COUNT($A$33:A44)&lt;=$G$40,0,$G$42),0)</f>
        <v>46666.66666666667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43447</v>
      </c>
      <c r="C45" s="27">
        <f>IF(B45&lt;&gt;"",IF(COUNT($A$33:A45)&lt;=$G$39,0,$G$41)+IF(COUNT($A$33:A45)&lt;=$G$40,0,$G$42),0)</f>
        <v>46666.66666666667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43478</v>
      </c>
      <c r="C46" s="27">
        <f>IF(B46&lt;&gt;"",IF(COUNT($A$33:A46)&lt;=$G$39,0,$G$41)+IF(COUNT($A$33:A46)&lt;=$G$40,0,$G$42),0)</f>
        <v>46666.66666666667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43509</v>
      </c>
      <c r="C47" s="27">
        <f>IF(B47&lt;&gt;"",IF(COUNT($A$33:A47)&lt;=$G$39,0,$G$41)+IF(COUNT($A$33:A47)&lt;=$G$40,0,$G$42),0)</f>
        <v>46666.66666666667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43537</v>
      </c>
      <c r="C48" s="27">
        <f>IF(B48&lt;&gt;"",IF(COUNT($A$33:A48)&lt;=$G$39,0,$G$41)+IF(COUNT($A$33:A48)&lt;=$G$40,0,$G$42),0)</f>
        <v>46666.66666666667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43568</v>
      </c>
      <c r="C49" s="27">
        <f>IF(B49&lt;&gt;"",IF(COUNT($A$33:A49)&lt;=$G$39,0,$G$41)+IF(COUNT($A$33:A49)&lt;=$G$40,0,$G$42),0)</f>
        <v>46666.66666666667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43598</v>
      </c>
      <c r="C50" s="27">
        <f>IF(B50&lt;&gt;"",IF(COUNT($A$33:A50)&lt;=$G$39,0,$G$41)+IF(COUNT($A$33:A50)&lt;=$G$40,0,$G$42),0)</f>
        <v>46666.66666666667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43629</v>
      </c>
      <c r="C51" s="27">
        <f>IF(B51&lt;&gt;"",IF(COUNT($A$33:A51)&lt;=$G$39,0,$G$41)+IF(COUNT($A$33:A51)&lt;=$G$40,0,$G$42),0)</f>
        <v>46666.66666666667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43659</v>
      </c>
      <c r="C52" s="27">
        <f>IF(B52&lt;&gt;"",IF(COUNT($A$33:A52)&lt;=$G$39,0,$G$41)+IF(COUNT($A$33:A52)&lt;=$G$40,0,$G$42),0)</f>
        <v>46666.66666666667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43690</v>
      </c>
      <c r="C53" s="27">
        <f>IF(B53&lt;&gt;"",IF(COUNT($A$33:A53)&lt;=$G$39,0,$G$41)+IF(COUNT($A$33:A53)&lt;=$G$40,0,$G$42),0)</f>
        <v>46666.66666666667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43721</v>
      </c>
      <c r="C54" s="27">
        <f>IF(B54&lt;&gt;"",IF(COUNT($A$33:A54)&lt;=$G$39,0,$G$41)+IF(COUNT($A$33:A54)&lt;=$G$40,0,$G$42),0)</f>
        <v>46666.66666666667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43751</v>
      </c>
      <c r="C55" s="27">
        <f>IF(B55&lt;&gt;"",IF(COUNT($A$33:A55)&lt;=$G$39,0,$G$41)+IF(COUNT($A$33:A55)&lt;=$G$40,0,$G$42),0)</f>
        <v>46666.66666666667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43782</v>
      </c>
      <c r="C56" s="27">
        <f>IF(B56&lt;&gt;"",IF(COUNT($A$33:A56)&lt;=$G$39,0,$G$41)+IF(COUNT($A$33:A56)&lt;=$G$40,0,$G$42),0)</f>
        <v>46666.66666666667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99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106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320</v>
      </c>
      <c r="H52" s="12" t="s">
        <v>321</v>
      </c>
      <c r="I52" s="12" t="s">
        <v>136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236</v>
      </c>
      <c r="E53" s="10" t="s">
        <v>195</v>
      </c>
      <c r="F53" s="10" t="s">
        <v>255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173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232</v>
      </c>
      <c r="J76" s="11" t="s">
        <v>354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93</v>
      </c>
      <c r="F77" s="12" t="s">
        <v>93</v>
      </c>
      <c r="G77" s="12" t="s">
        <v>356</v>
      </c>
      <c r="H77" s="12" t="s">
        <v>321</v>
      </c>
      <c r="I77" s="12" t="s">
        <v>357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104</v>
      </c>
      <c r="D78" s="133"/>
      <c r="E78" s="12" t="s">
        <v>97</v>
      </c>
      <c r="F78" s="12" t="s">
        <v>358</v>
      </c>
      <c r="G78" s="12" t="s">
        <v>359</v>
      </c>
      <c r="H78" s="12" t="s">
        <v>136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173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102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161</v>
      </c>
      <c r="D82" s="12">
        <f>D81+1</f>
        <v>4</v>
      </c>
      <c r="J82" s="70"/>
    </row>
    <row r="83" spans="1:36">
      <c r="B83" s="176">
        <v>50</v>
      </c>
      <c r="C83" s="12" t="s">
        <v>98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