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<sst xmlns="http://schemas.openxmlformats.org/spreadsheetml/2006/main" uniqueCount="374">
  <si>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</si>
  <si>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</si>
  <si>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</si>
  <si>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</si>
  <si>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</si>
  <si>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</si>
  <si>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</si>
  <si>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</si>
  <si>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</si>
  <si>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</si>
  <si>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</si>
  <si>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</si>
  <si>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</si>
  <si>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</si>
  <si>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</si>
  <si>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</si>
  <si>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</si>
  <si>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</si>
  <si>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</si>
  <si>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</si>
  <si>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</si>
  <si>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</si>
  <si>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</si>
  <si>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</si>
  <si>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</si>
  <si>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</si>
  <si>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</si>
  <si>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</si>
  <si>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</si>
  <si>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</si>
  <si>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</si>
  <si>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</si>
  <si>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</si>
  <si>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</si>
  <si>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</si>
  <si>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</si>
  <si>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</si>
  <si>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</si>
  <si>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</si>
  <si>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</si>
  <si>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</si>
  <si>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</si>
  <si>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</si>
  <si>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</si>
  <si>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</si>
  <si>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</si>
  <si>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</si>
  <si>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</si>
  <si>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</si>
  <si>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</si>
  <si>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</si>
  <si>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</si>
  <si>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</si>
  <si>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</si>
  <si>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</si>
  <si>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</si>
  <si>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</si>
  <si>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</si>
  <si>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</si>
  <si>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</si>
  <si>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</si>
  <si>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</si>
  <si>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</si>
  <si>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</si>
  <si>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</si>
  <si>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</si>
  <si>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</si>
  <si>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</si>
  <si>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</si>
  <si>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</si>
  <si>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</si>
  <si>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</si>
  <si>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</si>
  <si>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</si>
  <si>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</si>
  <si>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</si>
  <si>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</si>
  <si>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</si>
  <si>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</si>
  <si>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</si>
  <si>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</si>
  <si>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</si>
  <si>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</si>
  <si>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</si>
  <si>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</si>
  <si>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</si>
  <si>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</si>
  <si>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</si>
  <si>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</si>
  <si>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Tea</t>
  </si>
  <si>
    <t>Home recycled</t>
  </si>
  <si>
    <t>Yes both manure and inorganic</t>
  </si>
  <si>
    <t>Yes</t>
  </si>
  <si>
    <t>No</t>
  </si>
  <si>
    <t>November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</si>
  <si>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</si>
  <si>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</si>
  <si>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</si>
  <si>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</si>
  <si>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</si>
  <si>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</si>
  <si>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</si>
  <si>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</si>
  <si>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</si>
  <si>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</si>
  <si>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</si>
  <si>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</si>
  <si>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</si>
  <si>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</si>
  <si>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</si>
  <si>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</si>
  <si>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</si>
  <si>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</si>
  <si>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</si>
  <si>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</si>
  <si>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Buying and selling tea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</si>
  <si>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</si>
  <si>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</si>
  <si>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</si>
  <si>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</si>
  <si>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</si>
  <si>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</si>
  <si>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</si>
  <si>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</si>
  <si>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</si>
  <si>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</si>
  <si>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</si>
  <si>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</si>
  <si>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</si>
  <si>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</si>
  <si>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</si>
  <si>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</si>
  <si>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</si>
  <si>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</si>
  <si>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</si>
  <si>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</si>
  <si>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</si>
  <si>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</si>
  <si>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</si>
  <si>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</si>
  <si>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</si>
  <si>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</si>
  <si>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</si>
  <si>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9/30/2017</t>
  </si>
  <si>
    <t>kwft</t>
  </si>
  <si>
    <t xml:space="preserve">To clear, paying well. </t>
  </si>
  <si>
    <t>4/30/2016</t>
  </si>
  <si>
    <t xml:space="preserve">Paid well </t>
  </si>
  <si>
    <t>2/15/2017</t>
  </si>
  <si>
    <t>8/29/2015</t>
  </si>
  <si>
    <t xml:space="preserve">Paid well. 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</si>
  <si>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</si>
  <si>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</si>
  <si>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</si>
  <si>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</si>
  <si>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</si>
  <si>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</si>
  <si>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</si>
  <si>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</si>
  <si>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</si>
  <si>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</si>
  <si>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</si>
  <si>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</si>
  <si>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2017/11/6</t>
  </si>
  <si>
    <t>Loan terms</t>
  </si>
  <si>
    <t>Expected disbursement date</t>
  </si>
  <si>
    <t>2017/11/13</t>
  </si>
  <si>
    <t>Expected first repayment date</t>
  </si>
  <si>
    <t>2017/11/17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</si>
  <si>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</si>
  <si>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</si>
  <si>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</si>
  <si>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</si>
  <si>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</si>
  <si>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</si>
  <si>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</si>
  <si>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</si>
  <si>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</si>
  <si>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</si>
  <si>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</si>
  <si>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</si>
  <si>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</si>
  <si>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</si>
  <si>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</si>
  <si>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</si>
  <si>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</si>
  <si>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</si>
  <si>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</si>
  <si>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</si>
  <si>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</si>
  <si>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</si>
  <si>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</si>
  <si>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</si>
  <si>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</si>
  <si>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</si>
  <si>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</si>
  <si>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</si>
  <si>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</si>
  <si>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</si>
  <si>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</si>
  <si>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</si>
  <si>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</si>
  <si>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</si>
  <si>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</si>
  <si>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</si>
  <si>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</si>
  <si>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</si>
  <si>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</si>
  <si>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</si>
  <si>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</si>
  <si>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</si>
  <si>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</si>
  <si>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</si>
  <si>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</si>
  <si>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</si>
  <si>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</si>
  <si>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</si>
  <si>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</si>
  <si>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</si>
  <si>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</si>
  <si>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</si>
  <si>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</si>
  <si>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</si>
  <si>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</si>
  <si>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</si>
  <si>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</si>
  <si>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</si>
  <si>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</si>
  <si>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</si>
  <si>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</si>
  <si>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</si>
  <si>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</si>
  <si>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</si>
  <si>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</si>
  <si>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</si>
  <si>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</si>
  <si>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</si>
  <si>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</si>
  <si>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</si>
  <si>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</si>
  <si>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</si>
  <si>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</si>
  <si>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</si>
  <si>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</si>
  <si>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</si>
  <si>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</si>
  <si>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</si>
  <si>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</si>
  <si>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</si>
  <si>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</si>
  <si>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</si>
  <si>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</si>
  <si>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</si>
  <si>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</si>
  <si>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</si>
  <si>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</si>
  <si>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</si>
  <si>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</si>
  <si>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</si>
  <si>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</si>
  <si>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</si>
  <si>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</si>
  <si>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</si>
  <si>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</si>
  <si>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</si>
  <si>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</si>
  <si>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</si>
  <si>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</si>
  <si>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</si>
  <si>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</si>
  <si>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</si>
  <si>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</si>
  <si>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</si>
  <si>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</si>
  <si>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</si>
  <si>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</si>
  <si>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</si>
  <si>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</si>
  <si>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</si>
  <si>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</si>
  <si>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</si>
  <si>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</si>
  <si>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</si>
  <si>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</si>
  <si>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</si>
  <si>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</si>
  <si>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</si>
  <si>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</si>
  <si>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</si>
  <si>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</si>
  <si>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</si>
  <si>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</si>
  <si>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</si>
  <si>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</si>
  <si>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</si>
  <si>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</si>
  <si>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</si>
  <si>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</si>
  <si>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</si>
  <si>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</si>
  <si>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</si>
  <si>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</si>
  <si>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</si>
  <si>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</si>
  <si>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</si>
  <si>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</si>
  <si>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</si>
  <si>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</si>
  <si>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</si>
  <si>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</si>
  <si>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</si>
  <si>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</si>
  <si>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</si>
  <si>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</si>
  <si>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</si>
  <si>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</si>
  <si>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</si>
  <si>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</si>
  <si>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</si>
  <si>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</si>
  <si>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</si>
  <si>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</si>
  <si>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</si>
  <si>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</si>
  <si>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</si>
  <si>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</si>
  <si>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</si>
  <si>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</si>
  <si>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</si>
  <si>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</si>
  <si>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</si>
  <si>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</si>
  <si>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</si>
  <si>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</si>
  <si>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</si>
  <si>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</si>
  <si>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</si>
  <si>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</si>
  <si>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</si>
  <si>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</si>
  <si>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</si>
  <si>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</si>
  <si>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</si>
  <si>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</si>
  <si>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</si>
  <si>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</si>
  <si>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</si>
  <si>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</si>
  <si>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</si>
  <si>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</si>
  <si>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</si>
  <si>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</si>
  <si>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</si>
  <si>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</si>
  <si>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</si>
  <si>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</si>
  <si>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</si>
  <si>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</si>
  <si>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</si>
  <si>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</si>
  <si>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</si>
  <si>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</si>
  <si>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</si>
  <si>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</si>
  <si>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</si>
  <si>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</si>
  <si>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</si>
  <si>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</si>
  <si>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</si>
  <si>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Shop_certified variety</t>
  </si>
  <si>
    <t>March</t>
  </si>
  <si>
    <t>NGO</t>
  </si>
  <si>
    <t>April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</si>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</sst>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Tea,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Cows_dairy, Sheep, Chicken: sale of ex layers</v>
      </c>
    </row>
    <row r="8" spans="1:7">
      <c r="B8" s="1" t="s">
        <v>4</v>
      </c>
      <c r="C8" t="str">
        <f>IF(Inputs!B29="","None",Inputs!B29)</f>
        <v>Buying and selling tea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0.2069577955831675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0.2306990881458967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719742.5457823147</v>
      </c>
    </row>
    <row r="18" spans="1:7">
      <c r="B18" s="1" t="s">
        <v>12</v>
      </c>
      <c r="C18" s="36">
        <f>MIN(Output!B6:M6)</f>
        <v>48044.25646555424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87663.58051707399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62916.75</v>
      </c>
    </row>
    <row r="25" spans="1:7">
      <c r="B25" s="1" t="s">
        <v>18</v>
      </c>
      <c r="C25" s="36">
        <f>MAX(Inputs!A56:A60)</f>
        <v>110000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48044.25646555424</v>
      </c>
      <c r="C6" s="51">
        <f>C30-C88</f>
        <v>50044.25646555425</v>
      </c>
      <c r="D6" s="51">
        <f>D30-D88</f>
        <v>87663.58051707399</v>
      </c>
      <c r="E6" s="51">
        <f>E30-E88</f>
        <v>50044.25646555425</v>
      </c>
      <c r="F6" s="51">
        <f>F30-F88</f>
        <v>50044.25646555425</v>
      </c>
      <c r="G6" s="51">
        <f>G30-G88</f>
        <v>50044.25646555425</v>
      </c>
      <c r="H6" s="51">
        <f>H30-H88</f>
        <v>60740.22943852721</v>
      </c>
      <c r="I6" s="51">
        <f>I30-I88</f>
        <v>64623.49069978848</v>
      </c>
      <c r="J6" s="51">
        <f>J30-J88</f>
        <v>64623.49069978848</v>
      </c>
      <c r="K6" s="51">
        <f>K30-K88</f>
        <v>64623.49069978848</v>
      </c>
      <c r="L6" s="51">
        <f>L30-L88</f>
        <v>64623.49069978848</v>
      </c>
      <c r="M6" s="51">
        <f>M30-M88</f>
        <v>64623.49069978848</v>
      </c>
      <c r="N6" s="51">
        <f>N30-N88</f>
        <v>40732.64979069756</v>
      </c>
      <c r="O6" s="51">
        <f>O30-O88</f>
        <v>70681.8619119097</v>
      </c>
      <c r="P6" s="51">
        <f>P30-P88</f>
        <v>108301.1859634294</v>
      </c>
      <c r="Q6" s="51">
        <f>Q30-Q88</f>
        <v>70681.8619119097</v>
      </c>
      <c r="R6" s="51">
        <f>R30-R88</f>
        <v>70681.8619119097</v>
      </c>
      <c r="S6" s="51">
        <f>S30-S88</f>
        <v>70681.8619119097</v>
      </c>
      <c r="T6" s="51">
        <f>T30-T88</f>
        <v>96556.8619119097</v>
      </c>
      <c r="U6" s="51">
        <f>U30-U88</f>
        <v>70681.8619119097</v>
      </c>
      <c r="V6" s="51">
        <f>V30-V88</f>
        <v>70681.8619119097</v>
      </c>
      <c r="W6" s="51">
        <f>W30-W88</f>
        <v>70681.8619119097</v>
      </c>
      <c r="X6" s="51">
        <f>X30-X88</f>
        <v>70681.8619119097</v>
      </c>
      <c r="Y6" s="51">
        <f>Y30-Y88</f>
        <v>70681.8619119097</v>
      </c>
      <c r="Z6" s="51">
        <f>SUMIF($B$13:$Y$13,"Yes",B6:Y6)</f>
        <v>719742.5457823147</v>
      </c>
      <c r="AA6" s="51">
        <f>AA30-AA88</f>
        <v>719742.5457823139</v>
      </c>
      <c r="AB6" s="51">
        <f>AB30-AB88</f>
        <v>1601470.000655538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29007</v>
      </c>
      <c r="I7" s="80">
        <f>IF(ISERROR(VLOOKUP(MONTH(I5),Inputs!$D$66:$D$71,1,0)),"",INDEX(Inputs!$B$66:$B$71,MATCH(MONTH(Output!I5),Inputs!$D$66:$D$71,0))-INDEX(Inputs!$C$66:$C$71,MATCH(MONTH(Output!I5),Inputs!$D$66:$D$71,0)))</f>
        <v>34042</v>
      </c>
      <c r="J7" s="80">
        <f>IF(ISERROR(VLOOKUP(MONTH(J5),Inputs!$D$66:$D$71,1,0)),"",INDEX(Inputs!$B$66:$B$71,MATCH(MONTH(Output!J5),Inputs!$D$66:$D$71,0))-INDEX(Inputs!$C$66:$C$71,MATCH(MONTH(Output!J5),Inputs!$D$66:$D$71,0)))</f>
        <v>35538</v>
      </c>
      <c r="K7" s="80">
        <f>IF(ISERROR(VLOOKUP(MONTH(K5),Inputs!$D$66:$D$71,1,0)),"",INDEX(Inputs!$B$66:$B$71,MATCH(MONTH(Output!K5),Inputs!$D$66:$D$71,0))-INDEX(Inputs!$C$66:$C$71,MATCH(MONTH(Output!K5),Inputs!$D$66:$D$71,0)))</f>
        <v>28076</v>
      </c>
      <c r="L7" s="80">
        <f>IF(ISERROR(VLOOKUP(MONTH(L5),Inputs!$D$66:$D$71,1,0)),"",INDEX(Inputs!$B$66:$B$71,MATCH(MONTH(Output!L5),Inputs!$D$66:$D$71,0))-INDEX(Inputs!$C$66:$C$71,MATCH(MONTH(Output!L5),Inputs!$D$66:$D$71,0)))</f>
        <v>27239</v>
      </c>
      <c r="M7" s="80">
        <f>IF(ISERROR(VLOOKUP(MONTH(M5),Inputs!$D$66:$D$71,1,0)),"",INDEX(Inputs!$B$66:$B$71,MATCH(MONTH(Output!M5),Inputs!$D$66:$D$71,0))-INDEX(Inputs!$C$66:$C$71,MATCH(MONTH(Output!M5),Inputs!$D$66:$D$71,0)))</f>
        <v>16074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29007</v>
      </c>
      <c r="U7" s="80">
        <f>IF(ISERROR(VLOOKUP(MONTH(U5),Inputs!$D$66:$D$71,1,0)),"",INDEX(Inputs!$B$66:$B$71,MATCH(MONTH(Output!U5),Inputs!$D$66:$D$71,0))-INDEX(Inputs!$C$66:$C$71,MATCH(MONTH(Output!U5),Inputs!$D$66:$D$71,0)))</f>
        <v>34042</v>
      </c>
      <c r="V7" s="80">
        <f>IF(ISERROR(VLOOKUP(MONTH(V5),Inputs!$D$66:$D$71,1,0)),"",INDEX(Inputs!$B$66:$B$71,MATCH(MONTH(Output!V5),Inputs!$D$66:$D$71,0))-INDEX(Inputs!$C$66:$C$71,MATCH(MONTH(Output!V5),Inputs!$D$66:$D$71,0)))</f>
        <v>35538</v>
      </c>
      <c r="W7" s="80">
        <f>IF(ISERROR(VLOOKUP(MONTH(W5),Inputs!$D$66:$D$71,1,0)),"",INDEX(Inputs!$B$66:$B$71,MATCH(MONTH(Output!W5),Inputs!$D$66:$D$71,0))-INDEX(Inputs!$C$66:$C$71,MATCH(MONTH(Output!W5),Inputs!$D$66:$D$71,0)))</f>
        <v>28076</v>
      </c>
      <c r="X7" s="80">
        <f>IF(ISERROR(VLOOKUP(MONTH(X5),Inputs!$D$66:$D$71,1,0)),"",INDEX(Inputs!$B$66:$B$71,MATCH(MONTH(Output!X5),Inputs!$D$66:$D$71,0))-INDEX(Inputs!$C$66:$C$71,MATCH(MONTH(Output!X5),Inputs!$D$66:$D$71,0)))</f>
        <v>27239</v>
      </c>
      <c r="Y7" s="80">
        <f>IF(ISERROR(VLOOKUP(MONTH(Y5),Inputs!$D$66:$D$71,1,0)),"",INDEX(Inputs!$B$66:$B$71,MATCH(MONTH(Output!Y5),Inputs!$D$66:$D$71,0))-INDEX(Inputs!$C$66:$C$71,MATCH(MONTH(Output!Y5),Inputs!$D$66:$D$71,0)))</f>
        <v>16074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15000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180000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183044.2564655542</v>
      </c>
      <c r="C11" s="80">
        <f>C6+C9-C10</f>
        <v>35044.25646555425</v>
      </c>
      <c r="D11" s="80">
        <f>D6+D9-D10</f>
        <v>72663.58051707399</v>
      </c>
      <c r="E11" s="80">
        <f>E6+E9-E10</f>
        <v>35044.25646555425</v>
      </c>
      <c r="F11" s="80">
        <f>F6+F9-F10</f>
        <v>35044.25646555425</v>
      </c>
      <c r="G11" s="80">
        <f>G6+G9-G10</f>
        <v>35044.25646555425</v>
      </c>
      <c r="H11" s="80">
        <f>H6+H9-H10</f>
        <v>45740.22943852721</v>
      </c>
      <c r="I11" s="80">
        <f>I6+I9-I10</f>
        <v>49623.49069978848</v>
      </c>
      <c r="J11" s="80">
        <f>J6+J9-J10</f>
        <v>49623.49069978848</v>
      </c>
      <c r="K11" s="80">
        <f>K6+K9-K10</f>
        <v>49623.49069978848</v>
      </c>
      <c r="L11" s="80">
        <f>L6+L9-L10</f>
        <v>49623.49069978848</v>
      </c>
      <c r="M11" s="80">
        <f>M6+M9-M10</f>
        <v>49623.49069978848</v>
      </c>
      <c r="N11" s="80">
        <f>N6+N9-N10</f>
        <v>40732.64979069756</v>
      </c>
      <c r="O11" s="80">
        <f>O6+O9-O10</f>
        <v>70681.8619119097</v>
      </c>
      <c r="P11" s="80">
        <f>P6+P9-P10</f>
        <v>108301.1859634294</v>
      </c>
      <c r="Q11" s="80">
        <f>Q6+Q9-Q10</f>
        <v>70681.8619119097</v>
      </c>
      <c r="R11" s="80">
        <f>R6+R9-R10</f>
        <v>70681.8619119097</v>
      </c>
      <c r="S11" s="80">
        <f>S6+S9-S10</f>
        <v>70681.8619119097</v>
      </c>
      <c r="T11" s="80">
        <f>T6+T9-T10</f>
        <v>96556.8619119097</v>
      </c>
      <c r="U11" s="80">
        <f>U6+U9-U10</f>
        <v>70681.8619119097</v>
      </c>
      <c r="V11" s="80">
        <f>V6+V9-V10</f>
        <v>70681.8619119097</v>
      </c>
      <c r="W11" s="80">
        <f>W6+W9-W10</f>
        <v>70681.8619119097</v>
      </c>
      <c r="X11" s="80">
        <f>X6+X9-X10</f>
        <v>70681.8619119097</v>
      </c>
      <c r="Y11" s="80">
        <f>Y6+Y9-Y10</f>
        <v>70681.8619119097</v>
      </c>
      <c r="Z11" s="85">
        <f>SUMIF($B$13:$Y$13,"Yes",B11:Y11)</f>
        <v>689742.5457823146</v>
      </c>
      <c r="AA11" s="80">
        <f>SUM(B11:M11)</f>
        <v>689742.5457823146</v>
      </c>
      <c r="AB11" s="46">
        <f>SUM(B11:Y11)</f>
        <v>1571470.000655538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0.07574064639743261</v>
      </c>
      <c r="C12" s="82">
        <f>IF(C13="Yes",IF(SUM($B$10:C10)/(SUM($B$6:C6)+SUM($B$9:C9))&lt;0,999.99,SUM($B$10:C10)/(SUM($B$6:C6)+SUM($B$9:C9))),"")</f>
        <v>0.1209245831076858</v>
      </c>
      <c r="D12" s="82">
        <f>IF(D13="Yes",IF(SUM($B$10:D10)/(SUM($B$6:D6)+SUM($B$9:D9))&lt;0,999.99,SUM($B$10:D10)/(SUM($B$6:D6)+SUM($B$9:D9))),"")</f>
        <v>0.1340274591823058</v>
      </c>
      <c r="E12" s="82">
        <f>IF(E13="Yes",IF(SUM($B$10:E10)/(SUM($B$6:E6)+SUM($B$9:E9))&lt;0,999.99,SUM($B$10:E10)/(SUM($B$6:E6)+SUM($B$9:E9))),"")</f>
        <v>0.1555224667455145</v>
      </c>
      <c r="F12" s="82">
        <f>IF(F13="Yes",IF(SUM($B$10:F10)/(SUM($B$6:F6)+SUM($B$9:F9))&lt;0,999.99,SUM($B$10:F10)/(SUM($B$6:F6)+SUM($B$9:F9))),"")</f>
        <v>0.1720812583826371</v>
      </c>
      <c r="G12" s="82">
        <f>IF(G13="Yes",IF(SUM($B$10:G10)/(SUM($B$6:G6)+SUM($B$9:G9))&lt;0,999.99,SUM($B$10:G10)/(SUM($B$6:G6)+SUM($B$9:G9))),"")</f>
        <v>0.1852290673824493</v>
      </c>
      <c r="H12" s="82">
        <f>IF(H13="Yes",IF(SUM($B$10:H10)/(SUM($B$6:H6)+SUM($B$9:H9))&lt;0,999.99,SUM($B$10:H10)/(SUM($B$6:H6)+SUM($B$9:H9))),"")</f>
        <v>0.192087779141993</v>
      </c>
      <c r="I12" s="82">
        <f>IF(I13="Yes",IF(SUM($B$10:I10)/(SUM($B$6:I6)+SUM($B$9:I9))&lt;0,999.99,SUM($B$10:I10)/(SUM($B$6:I6)+SUM($B$9:I9))),"")</f>
        <v>0.1963194735182001</v>
      </c>
      <c r="J12" s="82">
        <f>IF(J13="Yes",IF(SUM($B$10:J10)/(SUM($B$6:J6)+SUM($B$9:J9))&lt;0,999.99,SUM($B$10:J10)/(SUM($B$6:J6)+SUM($B$9:J9))),"")</f>
        <v>0.1997419411995535</v>
      </c>
      <c r="K12" s="82">
        <f>IF(K13="Yes",IF(SUM($B$10:K10)/(SUM($B$6:K6)+SUM($B$9:K9))&lt;0,999.99,SUM($B$10:K10)/(SUM($B$6:K6)+SUM($B$9:K9))),"")</f>
        <v>0.2025670472787193</v>
      </c>
      <c r="L12" s="82">
        <f>IF(L13="Yes",IF(SUM($B$10:L10)/(SUM($B$6:L6)+SUM($B$9:L9))&lt;0,999.99,SUM($B$10:L10)/(SUM($B$6:L6)+SUM($B$9:L9))),"")</f>
        <v>0.204938634799902</v>
      </c>
      <c r="M12" s="82">
        <f>IF(M13="Yes",IF(SUM($B$10:M10)/(SUM($B$6:M6)+SUM($B$9:M9))&lt;0,999.99,SUM($B$10:M10)/(SUM($B$6:M6)+SUM($B$9:M9))),"")</f>
        <v>0.2069577955831675</v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Tea</v>
      </c>
      <c r="B18" s="36">
        <f>N18</f>
        <v>1371.537856044992</v>
      </c>
      <c r="C18" s="36">
        <f>O18</f>
        <v>1371.537856044992</v>
      </c>
      <c r="D18" s="36">
        <f>P18</f>
        <v>38990.86190756476</v>
      </c>
      <c r="E18" s="36">
        <f>Q18</f>
        <v>1371.537856044992</v>
      </c>
      <c r="F18" s="36">
        <f>R18</f>
        <v>1371.537856044992</v>
      </c>
      <c r="G18" s="36">
        <f>S18</f>
        <v>1371.537856044992</v>
      </c>
      <c r="H18" s="36">
        <f>T18</f>
        <v>1371.537856044992</v>
      </c>
      <c r="I18" s="36">
        <f>U18</f>
        <v>1371.537856044992</v>
      </c>
      <c r="J18" s="36">
        <f>V18</f>
        <v>1371.537856044992</v>
      </c>
      <c r="K18" s="36">
        <f>W18</f>
        <v>1371.537856044992</v>
      </c>
      <c r="L18" s="36">
        <f>X18</f>
        <v>1371.537856044992</v>
      </c>
      <c r="M18" s="36">
        <f>Y18</f>
        <v>1371.537856044992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1371.537856044992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1371.537856044992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38990.86190756476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1371.537856044992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1371.537856044992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1371.537856044992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1371.537856044992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1371.537856044992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1371.537856044992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1371.537856044992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1371.537856044992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1371.537856044992</v>
      </c>
      <c r="Z18" s="36">
        <f>SUMIF($B$13:$Y$13,"Yes",B18:Y18)</f>
        <v>54077.77832405965</v>
      </c>
      <c r="AA18" s="36">
        <f>SUM(B18:M18)</f>
        <v>54077.77832405965</v>
      </c>
      <c r="AB18" s="36">
        <f>SUM(B18:Y18)</f>
        <v>108155.5566481193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49800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574875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1078.125</v>
      </c>
      <c r="C26" s="36">
        <f>IFERROR(Calculations!$P16/12,"")</f>
        <v>1078.125</v>
      </c>
      <c r="D26" s="36">
        <f>IFERROR(Calculations!$P16/12,"")</f>
        <v>1078.125</v>
      </c>
      <c r="E26" s="36">
        <f>IFERROR(Calculations!$P16/12,"")</f>
        <v>1078.125</v>
      </c>
      <c r="F26" s="36">
        <f>IFERROR(Calculations!$P16/12,"")</f>
        <v>1078.125</v>
      </c>
      <c r="G26" s="36">
        <f>IFERROR(Calculations!$P16/12,"")</f>
        <v>1078.125</v>
      </c>
      <c r="H26" s="36">
        <f>IFERROR(Calculations!$P16/12,"")</f>
        <v>1078.125</v>
      </c>
      <c r="I26" s="36">
        <f>IFERROR(Calculations!$P16/12,"")</f>
        <v>1078.125</v>
      </c>
      <c r="J26" s="36">
        <f>IFERROR(Calculations!$P16/12,"")</f>
        <v>1078.125</v>
      </c>
      <c r="K26" s="36">
        <f>IFERROR(Calculations!$P16/12,"")</f>
        <v>1078.125</v>
      </c>
      <c r="L26" s="36">
        <f>IFERROR(Calculations!$P16/12,"")</f>
        <v>1078.125</v>
      </c>
      <c r="M26" s="36">
        <f>IFERROR(Calculations!$P16/12,"")</f>
        <v>1078.125</v>
      </c>
      <c r="N26" s="36">
        <f>IFERROR(Calculations!$P16/12,"")</f>
        <v>1078.125</v>
      </c>
      <c r="O26" s="36">
        <f>IFERROR(Calculations!$P16/12,"")</f>
        <v>1078.125</v>
      </c>
      <c r="P26" s="36">
        <f>IFERROR(Calculations!$P16/12,"")</f>
        <v>1078.125</v>
      </c>
      <c r="Q26" s="36">
        <f>IFERROR(Calculations!$P16/12,"")</f>
        <v>1078.125</v>
      </c>
      <c r="R26" s="36">
        <f>IFERROR(Calculations!$P16/12,"")</f>
        <v>1078.125</v>
      </c>
      <c r="S26" s="36">
        <f>IFERROR(Calculations!$P16/12,"")</f>
        <v>1078.125</v>
      </c>
      <c r="T26" s="36">
        <f>IFERROR(Calculations!$P16/12,"")</f>
        <v>1078.125</v>
      </c>
      <c r="U26" s="36">
        <f>IFERROR(Calculations!$P16/12,"")</f>
        <v>1078.125</v>
      </c>
      <c r="V26" s="36">
        <f>IFERROR(Calculations!$P16/12,"")</f>
        <v>1078.125</v>
      </c>
      <c r="W26" s="36">
        <f>IFERROR(Calculations!$P16/12,"")</f>
        <v>1078.125</v>
      </c>
      <c r="X26" s="36">
        <f>IFERROR(Calculations!$P16/12,"")</f>
        <v>1078.125</v>
      </c>
      <c r="Y26" s="36">
        <f>IFERROR(Calculations!$P16/12,"")</f>
        <v>1078.125</v>
      </c>
      <c r="Z26" s="36">
        <f>SUMIF($B$13:$Y$13,"Yes",B26:Y26)</f>
        <v>12937.5</v>
      </c>
      <c r="AA26" s="36">
        <f>SUM(B26:M26)</f>
        <v>12937.5</v>
      </c>
      <c r="AB26" s="46">
        <f>SUM(B26:Y26)</f>
        <v>25875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25875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25875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130000</v>
      </c>
      <c r="C29" s="37">
        <f>Inputs!$B$30</f>
        <v>130000</v>
      </c>
      <c r="D29" s="37">
        <f>Inputs!$B$30</f>
        <v>130000</v>
      </c>
      <c r="E29" s="37">
        <f>Inputs!$B$30</f>
        <v>130000</v>
      </c>
      <c r="F29" s="37">
        <f>Inputs!$B$30</f>
        <v>130000</v>
      </c>
      <c r="G29" s="37">
        <f>Inputs!$B$30</f>
        <v>130000</v>
      </c>
      <c r="H29" s="37">
        <f>Inputs!$B$30</f>
        <v>130000</v>
      </c>
      <c r="I29" s="37">
        <f>Inputs!$B$30</f>
        <v>130000</v>
      </c>
      <c r="J29" s="37">
        <f>Inputs!$B$30</f>
        <v>130000</v>
      </c>
      <c r="K29" s="37">
        <f>Inputs!$B$30</f>
        <v>130000</v>
      </c>
      <c r="L29" s="37">
        <f>Inputs!$B$30</f>
        <v>130000</v>
      </c>
      <c r="M29" s="37">
        <f>Inputs!$B$30</f>
        <v>130000</v>
      </c>
      <c r="N29" s="37">
        <f>Inputs!$B$30</f>
        <v>130000</v>
      </c>
      <c r="O29" s="37">
        <f>Inputs!$B$30</f>
        <v>130000</v>
      </c>
      <c r="P29" s="37">
        <f>Inputs!$B$30</f>
        <v>130000</v>
      </c>
      <c r="Q29" s="37">
        <f>Inputs!$B$30</f>
        <v>130000</v>
      </c>
      <c r="R29" s="37">
        <f>Inputs!$B$30</f>
        <v>130000</v>
      </c>
      <c r="S29" s="37">
        <f>Inputs!$B$30</f>
        <v>130000</v>
      </c>
      <c r="T29" s="37">
        <f>Inputs!$B$30</f>
        <v>130000</v>
      </c>
      <c r="U29" s="37">
        <f>Inputs!$B$30</f>
        <v>130000</v>
      </c>
      <c r="V29" s="37">
        <f>Inputs!$B$30</f>
        <v>130000</v>
      </c>
      <c r="W29" s="37">
        <f>Inputs!$B$30</f>
        <v>130000</v>
      </c>
      <c r="X29" s="37">
        <f>Inputs!$B$30</f>
        <v>130000</v>
      </c>
      <c r="Y29" s="37">
        <f>Inputs!$B$30</f>
        <v>130000</v>
      </c>
      <c r="Z29" s="37">
        <f>SUMIF($B$13:$Y$13,"Yes",B29:Y29)</f>
        <v>1560000</v>
      </c>
      <c r="AA29" s="37">
        <f>SUM(B29:M29)</f>
        <v>1560000</v>
      </c>
      <c r="AB29" s="37">
        <f>SUM(B29:Y29)</f>
        <v>3120000</v>
      </c>
    </row>
    <row r="30" spans="1:30" customHeight="1" ht="15.75">
      <c r="A30" s="1" t="s">
        <v>37</v>
      </c>
      <c r="B30" s="19">
        <f>SUM(B18:B29)</f>
        <v>180355.912856045</v>
      </c>
      <c r="C30" s="19">
        <f>SUM(C18:C29)</f>
        <v>180355.912856045</v>
      </c>
      <c r="D30" s="19">
        <f>SUM(D18:D29)</f>
        <v>217975.2369075647</v>
      </c>
      <c r="E30" s="19">
        <f>SUM(E18:E29)</f>
        <v>180355.912856045</v>
      </c>
      <c r="F30" s="19">
        <f>SUM(F18:F29)</f>
        <v>180355.912856045</v>
      </c>
      <c r="G30" s="19">
        <f>SUM(G18:G29)</f>
        <v>180355.912856045</v>
      </c>
      <c r="H30" s="19">
        <f>SUM(H18:H29)</f>
        <v>180355.912856045</v>
      </c>
      <c r="I30" s="19">
        <f>SUM(I18:I29)</f>
        <v>180355.912856045</v>
      </c>
      <c r="J30" s="19">
        <f>SUM(J18:J29)</f>
        <v>180355.912856045</v>
      </c>
      <c r="K30" s="19">
        <f>SUM(K18:K29)</f>
        <v>180355.912856045</v>
      </c>
      <c r="L30" s="19">
        <f>SUM(L18:L29)</f>
        <v>180355.912856045</v>
      </c>
      <c r="M30" s="19">
        <f>SUM(M18:M29)</f>
        <v>180355.912856045</v>
      </c>
      <c r="N30" s="19">
        <f>SUM(N18:N29)</f>
        <v>180355.912856045</v>
      </c>
      <c r="O30" s="19">
        <f>SUM(O18:O29)</f>
        <v>180355.912856045</v>
      </c>
      <c r="P30" s="19">
        <f>SUM(P18:P29)</f>
        <v>217975.2369075647</v>
      </c>
      <c r="Q30" s="19">
        <f>SUM(Q18:Q29)</f>
        <v>180355.912856045</v>
      </c>
      <c r="R30" s="19">
        <f>SUM(R18:R29)</f>
        <v>180355.912856045</v>
      </c>
      <c r="S30" s="19">
        <f>SUM(S18:S29)</f>
        <v>180355.912856045</v>
      </c>
      <c r="T30" s="19">
        <f>SUM(T18:T29)</f>
        <v>206230.912856045</v>
      </c>
      <c r="U30" s="19">
        <f>SUM(U18:U29)</f>
        <v>180355.912856045</v>
      </c>
      <c r="V30" s="19">
        <f>SUM(V18:V29)</f>
        <v>180355.912856045</v>
      </c>
      <c r="W30" s="19">
        <f>SUM(W18:W29)</f>
        <v>180355.912856045</v>
      </c>
      <c r="X30" s="19">
        <f>SUM(X18:X29)</f>
        <v>180355.912856045</v>
      </c>
      <c r="Y30" s="19">
        <f>SUM(Y18:Y29)</f>
        <v>180355.912856045</v>
      </c>
      <c r="Z30" s="19">
        <f>SUMIF($B$13:$Y$13,"Yes",B30:Y30)</f>
        <v>2201890.278324059</v>
      </c>
      <c r="AA30" s="19">
        <f>SUM(B30:M30)</f>
        <v>2201890.278324059</v>
      </c>
      <c r="AB30" s="19">
        <f>SUM(B30:Y30)</f>
        <v>4429655.55664812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333.3333333333333</v>
      </c>
      <c r="C36" s="36">
        <f>O36</f>
        <v>333.3333333333333</v>
      </c>
      <c r="D36" s="36">
        <f>P36</f>
        <v>333.3333333333333</v>
      </c>
      <c r="E36" s="36">
        <f>Q36</f>
        <v>333.3333333333333</v>
      </c>
      <c r="F36" s="36">
        <f>R36</f>
        <v>333.3333333333333</v>
      </c>
      <c r="G36" s="36">
        <f>S36</f>
        <v>333.3333333333333</v>
      </c>
      <c r="H36" s="36">
        <f>T36</f>
        <v>333.3333333333333</v>
      </c>
      <c r="I36" s="36">
        <f>U36</f>
        <v>333.3333333333333</v>
      </c>
      <c r="J36" s="36">
        <f>V36</f>
        <v>333.3333333333333</v>
      </c>
      <c r="K36" s="36">
        <f>W36</f>
        <v>333.3333333333333</v>
      </c>
      <c r="L36" s="36">
        <f>X36</f>
        <v>333.3333333333333</v>
      </c>
      <c r="M36" s="36">
        <f>Y36</f>
        <v>333.3333333333333</v>
      </c>
      <c r="N36" s="36">
        <f>SUM(N37:N41)</f>
        <v>333.3333333333333</v>
      </c>
      <c r="O36" s="36">
        <f>SUM(O37:O41)</f>
        <v>333.3333333333333</v>
      </c>
      <c r="P36" s="36">
        <f>SUM(P37:P41)</f>
        <v>333.3333333333333</v>
      </c>
      <c r="Q36" s="36">
        <f>SUM(Q37:Q41)</f>
        <v>333.3333333333333</v>
      </c>
      <c r="R36" s="36">
        <f>SUM(R37:R41)</f>
        <v>333.3333333333333</v>
      </c>
      <c r="S36" s="36">
        <f>SUM(S37:S41)</f>
        <v>333.3333333333333</v>
      </c>
      <c r="T36" s="36">
        <f>SUM(T37:T41)</f>
        <v>333.3333333333333</v>
      </c>
      <c r="U36" s="36">
        <f>SUM(U37:U41)</f>
        <v>333.3333333333333</v>
      </c>
      <c r="V36" s="36">
        <f>SUM(V37:V41)</f>
        <v>333.3333333333333</v>
      </c>
      <c r="W36" s="36">
        <f>SUM(W37:W41)</f>
        <v>333.3333333333333</v>
      </c>
      <c r="X36" s="36">
        <f>SUM(X37:X41)</f>
        <v>333.3333333333333</v>
      </c>
      <c r="Y36" s="36">
        <f>SUM(Y37:Y41)</f>
        <v>333.3333333333333</v>
      </c>
      <c r="Z36" s="36">
        <f>SUMIF($B$13:$Y$13,"Yes",B36:Y36)</f>
        <v>4000</v>
      </c>
      <c r="AA36" s="36">
        <f>SUM(B36:M36)</f>
        <v>4000</v>
      </c>
      <c r="AB36" s="36">
        <f>SUM(B36:Y36)</f>
        <v>7999.999999999997</v>
      </c>
      <c r="AC36" s="73"/>
    </row>
    <row r="37" spans="1:30" hidden="true" outlineLevel="1">
      <c r="A37" s="181" t="str">
        <f>Calculations!$A$4</f>
        <v>Tea</v>
      </c>
      <c r="B37" s="36">
        <f>N37</f>
        <v>333.3333333333333</v>
      </c>
      <c r="C37" s="36">
        <f>O37</f>
        <v>333.3333333333333</v>
      </c>
      <c r="D37" s="36">
        <f>P37</f>
        <v>333.3333333333333</v>
      </c>
      <c r="E37" s="36">
        <f>Q37</f>
        <v>333.3333333333333</v>
      </c>
      <c r="F37" s="36">
        <f>R37</f>
        <v>333.3333333333333</v>
      </c>
      <c r="G37" s="36">
        <f>S37</f>
        <v>333.3333333333333</v>
      </c>
      <c r="H37" s="36">
        <f>T37</f>
        <v>333.3333333333333</v>
      </c>
      <c r="I37" s="36">
        <f>U37</f>
        <v>333.3333333333333</v>
      </c>
      <c r="J37" s="36">
        <f>V37</f>
        <v>333.3333333333333</v>
      </c>
      <c r="K37" s="36">
        <f>W37</f>
        <v>333.3333333333333</v>
      </c>
      <c r="L37" s="36">
        <f>X37</f>
        <v>333.3333333333333</v>
      </c>
      <c r="M37" s="36">
        <f>Y37</f>
        <v>333.3333333333333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333.3333333333333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333.3333333333333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333.3333333333333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333.3333333333333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333.3333333333333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333.3333333333333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333.3333333333333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333.3333333333333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333.3333333333333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333.3333333333333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333.3333333333333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333.3333333333333</v>
      </c>
      <c r="Z37" s="36">
        <f>SUMIF($B$13:$Y$13,"Yes",B37:Y37)</f>
        <v>4000</v>
      </c>
      <c r="AA37" s="36">
        <f>SUM(B37:M37)</f>
        <v>4000</v>
      </c>
      <c r="AB37" s="36">
        <f>SUM(B37:Y37)</f>
        <v>7999.999999999997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Tea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2000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2000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2000</v>
      </c>
      <c r="AA48" s="46">
        <f>SUM(B48:M48)</f>
        <v>2000</v>
      </c>
      <c r="AB48" s="46">
        <f>SUM(B48:Y48)</f>
        <v>4000</v>
      </c>
    </row>
    <row r="49" spans="1:30" hidden="true" outlineLevel="1">
      <c r="A49" s="181" t="str">
        <f>Calculations!$A$4</f>
        <v>Tea</v>
      </c>
      <c r="B49" s="36">
        <f>N49</f>
        <v>2000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2000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2000</v>
      </c>
      <c r="AA49" s="46">
        <f>SUM(B49:M49)</f>
        <v>2000</v>
      </c>
      <c r="AB49" s="46">
        <f>SUM(B49:Y49)</f>
        <v>4000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Tea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Tea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4512.5</v>
      </c>
      <c r="C66" s="36">
        <f>O66</f>
        <v>4512.5</v>
      </c>
      <c r="D66" s="36">
        <f>P66</f>
        <v>4512.5</v>
      </c>
      <c r="E66" s="36">
        <f>Q66</f>
        <v>4512.5</v>
      </c>
      <c r="F66" s="36">
        <f>R66</f>
        <v>4512.5</v>
      </c>
      <c r="G66" s="36">
        <f>S66</f>
        <v>4512.5</v>
      </c>
      <c r="H66" s="36">
        <f>T66</f>
        <v>4512.5</v>
      </c>
      <c r="I66" s="36">
        <f>U66</f>
        <v>4512.5</v>
      </c>
      <c r="J66" s="36">
        <f>V66</f>
        <v>4512.5</v>
      </c>
      <c r="K66" s="36">
        <f>W66</f>
        <v>4512.5</v>
      </c>
      <c r="L66" s="36">
        <f>X66</f>
        <v>4512.5</v>
      </c>
      <c r="M66" s="36">
        <f>Y66</f>
        <v>4512.5</v>
      </c>
      <c r="N66" s="46">
        <f>SUM(N67:N71)</f>
        <v>4512.5</v>
      </c>
      <c r="O66" s="46">
        <f>SUM(O67:O71)</f>
        <v>4512.5</v>
      </c>
      <c r="P66" s="46">
        <f>SUM(P67:P71)</f>
        <v>4512.5</v>
      </c>
      <c r="Q66" s="46">
        <f>SUM(Q67:Q71)</f>
        <v>4512.5</v>
      </c>
      <c r="R66" s="46">
        <f>SUM(R67:R71)</f>
        <v>4512.5</v>
      </c>
      <c r="S66" s="46">
        <f>SUM(S67:S71)</f>
        <v>4512.5</v>
      </c>
      <c r="T66" s="46">
        <f>SUM(T67:T71)</f>
        <v>4512.5</v>
      </c>
      <c r="U66" s="46">
        <f>SUM(U67:U71)</f>
        <v>4512.5</v>
      </c>
      <c r="V66" s="46">
        <f>SUM(V67:V71)</f>
        <v>4512.5</v>
      </c>
      <c r="W66" s="46">
        <f>SUM(W67:W71)</f>
        <v>4512.5</v>
      </c>
      <c r="X66" s="46">
        <f>SUM(X67:X71)</f>
        <v>4512.5</v>
      </c>
      <c r="Y66" s="46">
        <f>SUM(Y67:Y71)</f>
        <v>4512.5</v>
      </c>
      <c r="Z66" s="46">
        <f>SUMIF($B$13:$Y$13,"Yes",B66:Y66)</f>
        <v>54150</v>
      </c>
      <c r="AA66" s="46">
        <f>SUM(B66:M66)</f>
        <v>54150</v>
      </c>
      <c r="AB66" s="46">
        <f>SUM(B66:Y66)</f>
        <v>108300</v>
      </c>
    </row>
    <row r="67" spans="1:30" hidden="true" outlineLevel="1">
      <c r="A67" s="181" t="str">
        <f>Calculations!$A$4</f>
        <v>Tea</v>
      </c>
      <c r="B67" s="36">
        <f>N67</f>
        <v>4512.5</v>
      </c>
      <c r="C67" s="36">
        <f>O67</f>
        <v>4512.5</v>
      </c>
      <c r="D67" s="36">
        <f>P67</f>
        <v>4512.5</v>
      </c>
      <c r="E67" s="36">
        <f>Q67</f>
        <v>4512.5</v>
      </c>
      <c r="F67" s="36">
        <f>R67</f>
        <v>4512.5</v>
      </c>
      <c r="G67" s="36">
        <f>S67</f>
        <v>4512.5</v>
      </c>
      <c r="H67" s="36">
        <f>T67</f>
        <v>4512.5</v>
      </c>
      <c r="I67" s="36">
        <f>U67</f>
        <v>4512.5</v>
      </c>
      <c r="J67" s="36">
        <f>V67</f>
        <v>4512.5</v>
      </c>
      <c r="K67" s="36">
        <f>W67</f>
        <v>4512.5</v>
      </c>
      <c r="L67" s="36">
        <f>X67</f>
        <v>4512.5</v>
      </c>
      <c r="M67" s="36">
        <f>Y67</f>
        <v>4512.5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4512.5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4512.5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4512.5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4512.5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4512.5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4512.5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4512.5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4512.5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4512.5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4512.5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4512.5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4512.5</v>
      </c>
      <c r="Z67" s="46">
        <f>SUMIF($B$13:$Y$13,"Yes",B67:Y67)</f>
        <v>54150</v>
      </c>
      <c r="AA67" s="46">
        <f>SUM(B67:M67)</f>
        <v>54150</v>
      </c>
      <c r="AB67" s="46">
        <f>SUM(B67:Y67)</f>
        <v>108300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3269.791666666667</v>
      </c>
      <c r="C74" s="46">
        <f>SUM(Calculations!$Q$14:$Q$16)/12</f>
        <v>3269.791666666667</v>
      </c>
      <c r="D74" s="46">
        <f>SUM(Calculations!$Q$14:$Q$16)/12</f>
        <v>3269.791666666667</v>
      </c>
      <c r="E74" s="46">
        <f>SUM(Calculations!$Q$14:$Q$16)/12</f>
        <v>3269.791666666667</v>
      </c>
      <c r="F74" s="46">
        <f>SUM(Calculations!$Q$14:$Q$16)/12</f>
        <v>3269.791666666667</v>
      </c>
      <c r="G74" s="46">
        <f>SUM(Calculations!$Q$14:$Q$16)/12</f>
        <v>3269.791666666667</v>
      </c>
      <c r="H74" s="46">
        <f>SUM(Calculations!$Q$14:$Q$16)/12</f>
        <v>3269.791666666667</v>
      </c>
      <c r="I74" s="46">
        <f>SUM(Calculations!$Q$14:$Q$16)/12</f>
        <v>3269.791666666667</v>
      </c>
      <c r="J74" s="46">
        <f>SUM(Calculations!$Q$14:$Q$16)/12</f>
        <v>3269.791666666667</v>
      </c>
      <c r="K74" s="46">
        <f>SUM(Calculations!$Q$14:$Q$16)/12</f>
        <v>3269.791666666667</v>
      </c>
      <c r="L74" s="46">
        <f>SUM(Calculations!$Q$14:$Q$16)/12</f>
        <v>3269.791666666667</v>
      </c>
      <c r="M74" s="46">
        <f>SUM(Calculations!$Q$14:$Q$16)/12</f>
        <v>3269.791666666667</v>
      </c>
      <c r="N74" s="46">
        <f>SUM(Calculations!$Q$14:$Q$16)/12</f>
        <v>3269.791666666667</v>
      </c>
      <c r="O74" s="46">
        <f>SUM(Calculations!$Q$14:$Q$16)/12</f>
        <v>3269.791666666667</v>
      </c>
      <c r="P74" s="46">
        <f>SUM(Calculations!$Q$14:$Q$16)/12</f>
        <v>3269.791666666667</v>
      </c>
      <c r="Q74" s="46">
        <f>SUM(Calculations!$Q$14:$Q$16)/12</f>
        <v>3269.791666666667</v>
      </c>
      <c r="R74" s="46">
        <f>SUM(Calculations!$Q$14:$Q$16)/12</f>
        <v>3269.791666666667</v>
      </c>
      <c r="S74" s="46">
        <f>SUM(Calculations!$Q$14:$Q$16)/12</f>
        <v>3269.791666666667</v>
      </c>
      <c r="T74" s="46">
        <f>SUM(Calculations!$Q$14:$Q$16)/12</f>
        <v>3269.791666666667</v>
      </c>
      <c r="U74" s="46">
        <f>SUM(Calculations!$Q$14:$Q$16)/12</f>
        <v>3269.791666666667</v>
      </c>
      <c r="V74" s="46">
        <f>SUM(Calculations!$Q$14:$Q$16)/12</f>
        <v>3269.791666666667</v>
      </c>
      <c r="W74" s="46">
        <f>SUM(Calculations!$Q$14:$Q$16)/12</f>
        <v>3269.791666666667</v>
      </c>
      <c r="X74" s="46">
        <f>SUM(Calculations!$Q$14:$Q$16)/12</f>
        <v>3269.791666666667</v>
      </c>
      <c r="Y74" s="46">
        <f>SUM(Calculations!$Q$14:$Q$16)/12</f>
        <v>3269.791666666667</v>
      </c>
      <c r="Z74" s="46">
        <f>SUMIF($B$13:$Y$13,"Yes",B74:Y74)</f>
        <v>39237.5</v>
      </c>
      <c r="AA74" s="46">
        <f>SUM(B74:M74)</f>
        <v>39237.5</v>
      </c>
      <c r="AB74" s="46">
        <f>SUM(B74:Y74)</f>
        <v>78475</v>
      </c>
    </row>
    <row r="75" spans="1:30">
      <c r="A75" s="16" t="s">
        <v>47</v>
      </c>
      <c r="B75" s="46">
        <f>SUM(Calculations!$R$14:$R$16)/12</f>
        <v>383.3333333333333</v>
      </c>
      <c r="C75" s="46">
        <f>SUM(Calculations!$R$14:$R$16)/12</f>
        <v>383.3333333333333</v>
      </c>
      <c r="D75" s="46">
        <f>SUM(Calculations!$R$14:$R$16)/12</f>
        <v>383.3333333333333</v>
      </c>
      <c r="E75" s="46">
        <f>SUM(Calculations!$R$14:$R$16)/12</f>
        <v>383.3333333333333</v>
      </c>
      <c r="F75" s="46">
        <f>SUM(Calculations!$R$14:$R$16)/12</f>
        <v>383.3333333333333</v>
      </c>
      <c r="G75" s="46">
        <f>SUM(Calculations!$R$14:$R$16)/12</f>
        <v>383.3333333333333</v>
      </c>
      <c r="H75" s="46">
        <f>SUM(Calculations!$R$14:$R$16)/12</f>
        <v>383.3333333333333</v>
      </c>
      <c r="I75" s="46">
        <f>SUM(Calculations!$R$14:$R$16)/12</f>
        <v>383.3333333333333</v>
      </c>
      <c r="J75" s="46">
        <f>SUM(Calculations!$R$14:$R$16)/12</f>
        <v>383.3333333333333</v>
      </c>
      <c r="K75" s="46">
        <f>SUM(Calculations!$R$14:$R$16)/12</f>
        <v>383.3333333333333</v>
      </c>
      <c r="L75" s="46">
        <f>SUM(Calculations!$R$14:$R$16)/12</f>
        <v>383.3333333333333</v>
      </c>
      <c r="M75" s="46">
        <f>SUM(Calculations!$R$14:$R$16)/12</f>
        <v>383.3333333333333</v>
      </c>
      <c r="N75" s="46">
        <f>SUM(Calculations!$R$14:$R$16)/12</f>
        <v>383.3333333333333</v>
      </c>
      <c r="O75" s="46">
        <f>SUM(Calculations!$R$14:$R$16)/12</f>
        <v>383.3333333333333</v>
      </c>
      <c r="P75" s="46">
        <f>SUM(Calculations!$R$14:$R$16)/12</f>
        <v>383.3333333333333</v>
      </c>
      <c r="Q75" s="46">
        <f>SUM(Calculations!$R$14:$R$16)/12</f>
        <v>383.3333333333333</v>
      </c>
      <c r="R75" s="46">
        <f>SUM(Calculations!$R$14:$R$16)/12</f>
        <v>383.3333333333333</v>
      </c>
      <c r="S75" s="46">
        <f>SUM(Calculations!$R$14:$R$16)/12</f>
        <v>383.3333333333333</v>
      </c>
      <c r="T75" s="46">
        <f>SUM(Calculations!$R$14:$R$16)/12</f>
        <v>383.3333333333333</v>
      </c>
      <c r="U75" s="46">
        <f>SUM(Calculations!$R$14:$R$16)/12</f>
        <v>383.3333333333333</v>
      </c>
      <c r="V75" s="46">
        <f>SUM(Calculations!$R$14:$R$16)/12</f>
        <v>383.3333333333333</v>
      </c>
      <c r="W75" s="46">
        <f>SUM(Calculations!$R$14:$R$16)/12</f>
        <v>383.3333333333333</v>
      </c>
      <c r="X75" s="46">
        <f>SUM(Calculations!$R$14:$R$16)/12</f>
        <v>383.3333333333333</v>
      </c>
      <c r="Y75" s="46">
        <f>SUM(Calculations!$R$14:$R$16)/12</f>
        <v>383.3333333333333</v>
      </c>
      <c r="Z75" s="46">
        <f>SUMIF($B$13:$Y$13,"Yes",B75:Y75)</f>
        <v>4600</v>
      </c>
      <c r="AA75" s="46">
        <f>SUM(B75:M75)</f>
        <v>4600</v>
      </c>
      <c r="AB75" s="46">
        <f>SUM(B75:Y75)</f>
        <v>9199.999999999998</v>
      </c>
    </row>
    <row r="76" spans="1:30">
      <c r="A76" s="16" t="s">
        <v>48</v>
      </c>
      <c r="B76" s="46">
        <f>SUM(Calculations!$S$14:$S$16)/12</f>
        <v>2075</v>
      </c>
      <c r="C76" s="46">
        <f>SUM(Calculations!$S$14:$S$16)/12</f>
        <v>2075</v>
      </c>
      <c r="D76" s="46">
        <f>SUM(Calculations!$S$14:$S$16)/12</f>
        <v>2075</v>
      </c>
      <c r="E76" s="46">
        <f>SUM(Calculations!$S$14:$S$16)/12</f>
        <v>2075</v>
      </c>
      <c r="F76" s="46">
        <f>SUM(Calculations!$S$14:$S$16)/12</f>
        <v>2075</v>
      </c>
      <c r="G76" s="46">
        <f>SUM(Calculations!$S$14:$S$16)/12</f>
        <v>2075</v>
      </c>
      <c r="H76" s="46">
        <f>SUM(Calculations!$S$14:$S$16)/12</f>
        <v>2075</v>
      </c>
      <c r="I76" s="46">
        <f>SUM(Calculations!$S$14:$S$16)/12</f>
        <v>2075</v>
      </c>
      <c r="J76" s="46">
        <f>SUM(Calculations!$S$14:$S$16)/12</f>
        <v>2075</v>
      </c>
      <c r="K76" s="46">
        <f>SUM(Calculations!$S$14:$S$16)/12</f>
        <v>2075</v>
      </c>
      <c r="L76" s="46">
        <f>SUM(Calculations!$S$14:$S$16)/12</f>
        <v>2075</v>
      </c>
      <c r="M76" s="46">
        <f>SUM(Calculations!$S$14:$S$16)/12</f>
        <v>2075</v>
      </c>
      <c r="N76" s="46">
        <f>SUM(Calculations!$S$14:$S$16)/12</f>
        <v>2075</v>
      </c>
      <c r="O76" s="46">
        <f>SUM(Calculations!$S$14:$S$16)/12</f>
        <v>2075</v>
      </c>
      <c r="P76" s="46">
        <f>SUM(Calculations!$S$14:$S$16)/12</f>
        <v>2075</v>
      </c>
      <c r="Q76" s="46">
        <f>SUM(Calculations!$S$14:$S$16)/12</f>
        <v>2075</v>
      </c>
      <c r="R76" s="46">
        <f>SUM(Calculations!$S$14:$S$16)/12</f>
        <v>2075</v>
      </c>
      <c r="S76" s="46">
        <f>SUM(Calculations!$S$14:$S$16)/12</f>
        <v>2075</v>
      </c>
      <c r="T76" s="46">
        <f>SUM(Calculations!$S$14:$S$16)/12</f>
        <v>2075</v>
      </c>
      <c r="U76" s="46">
        <f>SUM(Calculations!$S$14:$S$16)/12</f>
        <v>2075</v>
      </c>
      <c r="V76" s="46">
        <f>SUM(Calculations!$S$14:$S$16)/12</f>
        <v>2075</v>
      </c>
      <c r="W76" s="46">
        <f>SUM(Calculations!$S$14:$S$16)/12</f>
        <v>2075</v>
      </c>
      <c r="X76" s="46">
        <f>SUM(Calculations!$S$14:$S$16)/12</f>
        <v>2075</v>
      </c>
      <c r="Y76" s="46">
        <f>SUM(Calculations!$S$14:$S$16)/12</f>
        <v>2075</v>
      </c>
      <c r="Z76" s="46">
        <f>SUMIF($B$13:$Y$13,"Yes",B76:Y76)</f>
        <v>24900</v>
      </c>
      <c r="AA76" s="46">
        <f>SUM(B76:M76)</f>
        <v>24900</v>
      </c>
      <c r="AB76" s="46">
        <f>SUM(B76:Y76)</f>
        <v>49800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50000</v>
      </c>
      <c r="C79" s="46">
        <f>Inputs!$B$31</f>
        <v>50000</v>
      </c>
      <c r="D79" s="46">
        <f>Inputs!$B$31</f>
        <v>50000</v>
      </c>
      <c r="E79" s="46">
        <f>Inputs!$B$31</f>
        <v>50000</v>
      </c>
      <c r="F79" s="46">
        <f>Inputs!$B$31</f>
        <v>50000</v>
      </c>
      <c r="G79" s="46">
        <f>Inputs!$B$31</f>
        <v>50000</v>
      </c>
      <c r="H79" s="46">
        <f>Inputs!$B$31</f>
        <v>50000</v>
      </c>
      <c r="I79" s="46">
        <f>Inputs!$B$31</f>
        <v>50000</v>
      </c>
      <c r="J79" s="46">
        <f>Inputs!$B$31</f>
        <v>50000</v>
      </c>
      <c r="K79" s="46">
        <f>Inputs!$B$31</f>
        <v>50000</v>
      </c>
      <c r="L79" s="46">
        <f>Inputs!$B$31</f>
        <v>50000</v>
      </c>
      <c r="M79" s="46">
        <f>Inputs!$B$31</f>
        <v>50000</v>
      </c>
      <c r="N79" s="46">
        <f>Inputs!$B$31</f>
        <v>50000</v>
      </c>
      <c r="O79" s="46">
        <f>Inputs!$B$31</f>
        <v>50000</v>
      </c>
      <c r="P79" s="46">
        <f>Inputs!$B$31</f>
        <v>50000</v>
      </c>
      <c r="Q79" s="46">
        <f>Inputs!$B$31</f>
        <v>50000</v>
      </c>
      <c r="R79" s="46">
        <f>Inputs!$B$31</f>
        <v>50000</v>
      </c>
      <c r="S79" s="46">
        <f>Inputs!$B$31</f>
        <v>50000</v>
      </c>
      <c r="T79" s="46">
        <f>Inputs!$B$31</f>
        <v>50000</v>
      </c>
      <c r="U79" s="46">
        <f>Inputs!$B$31</f>
        <v>50000</v>
      </c>
      <c r="V79" s="46">
        <f>Inputs!$B$31</f>
        <v>50000</v>
      </c>
      <c r="W79" s="46">
        <f>Inputs!$B$31</f>
        <v>50000</v>
      </c>
      <c r="X79" s="46">
        <f>Inputs!$B$31</f>
        <v>50000</v>
      </c>
      <c r="Y79" s="46">
        <f>Inputs!$B$31</f>
        <v>50000</v>
      </c>
      <c r="Z79" s="46">
        <f>SUMIF($B$13:$Y$13,"Yes",B79:Y79)</f>
        <v>600000</v>
      </c>
      <c r="AA79" s="46">
        <f>SUM(B79:M79)</f>
        <v>600000</v>
      </c>
      <c r="AB79" s="46">
        <f>SUM(B79:Y79)</f>
        <v>1200000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49100.09261080198</v>
      </c>
      <c r="C81" s="46">
        <f>(SUM($AA$18:$AA$29)-SUM($AA$36,$AA$42,$AA$48,$AA$54,$AA$60,$AA$66,$AA$72:$AA$79))*Parameters!$B$37/12</f>
        <v>49100.09261080198</v>
      </c>
      <c r="D81" s="46">
        <f>(SUM($AA$18:$AA$29)-SUM($AA$36,$AA$42,$AA$48,$AA$54,$AA$60,$AA$66,$AA$72:$AA$79))*Parameters!$B$37/12</f>
        <v>49100.09261080198</v>
      </c>
      <c r="E81" s="46">
        <f>(SUM($AA$18:$AA$29)-SUM($AA$36,$AA$42,$AA$48,$AA$54,$AA$60,$AA$66,$AA$72:$AA$79))*Parameters!$B$37/12</f>
        <v>49100.09261080198</v>
      </c>
      <c r="F81" s="46">
        <f>(SUM($AA$18:$AA$29)-SUM($AA$36,$AA$42,$AA$48,$AA$54,$AA$60,$AA$66,$AA$72:$AA$79))*Parameters!$B$37/12</f>
        <v>49100.09261080198</v>
      </c>
      <c r="G81" s="46">
        <f>(SUM($AA$18:$AA$29)-SUM($AA$36,$AA$42,$AA$48,$AA$54,$AA$60,$AA$66,$AA$72:$AA$79))*Parameters!$B$37/12</f>
        <v>49100.09261080198</v>
      </c>
      <c r="H81" s="46">
        <f>(SUM($AA$18:$AA$29)-SUM($AA$36,$AA$42,$AA$48,$AA$54,$AA$60,$AA$66,$AA$72:$AA$79))*Parameters!$B$37/12</f>
        <v>49100.09261080198</v>
      </c>
      <c r="I81" s="46">
        <f>(SUM($AA$18:$AA$29)-SUM($AA$36,$AA$42,$AA$48,$AA$54,$AA$60,$AA$66,$AA$72:$AA$79))*Parameters!$B$37/12</f>
        <v>49100.09261080198</v>
      </c>
      <c r="J81" s="46">
        <f>(SUM($AA$18:$AA$29)-SUM($AA$36,$AA$42,$AA$48,$AA$54,$AA$60,$AA$66,$AA$72:$AA$79))*Parameters!$B$37/12</f>
        <v>49100.09261080198</v>
      </c>
      <c r="K81" s="46">
        <f>(SUM($AA$18:$AA$29)-SUM($AA$36,$AA$42,$AA$48,$AA$54,$AA$60,$AA$66,$AA$72:$AA$79))*Parameters!$B$37/12</f>
        <v>49100.09261080198</v>
      </c>
      <c r="L81" s="46">
        <f>(SUM($AA$18:$AA$29)-SUM($AA$36,$AA$42,$AA$48,$AA$54,$AA$60,$AA$66,$AA$72:$AA$79))*Parameters!$B$37/12</f>
        <v>49100.09261080198</v>
      </c>
      <c r="M81" s="46">
        <f>(SUM($AA$18:$AA$29)-SUM($AA$36,$AA$42,$AA$48,$AA$54,$AA$60,$AA$66,$AA$72:$AA$79))*Parameters!$B$37/12</f>
        <v>49100.09261080198</v>
      </c>
      <c r="N81" s="46">
        <f>(SUM($AA$18:$AA$29)-SUM($AA$36,$AA$42,$AA$48,$AA$54,$AA$60,$AA$66,$AA$72:$AA$79))*Parameters!$B$37/12</f>
        <v>49100.09261080198</v>
      </c>
      <c r="O81" s="46">
        <f>(SUM($AA$18:$AA$29)-SUM($AA$36,$AA$42,$AA$48,$AA$54,$AA$60,$AA$66,$AA$72:$AA$79))*Parameters!$B$37/12</f>
        <v>49100.09261080198</v>
      </c>
      <c r="P81" s="46">
        <f>(SUM($AA$18:$AA$29)-SUM($AA$36,$AA$42,$AA$48,$AA$54,$AA$60,$AA$66,$AA$72:$AA$79))*Parameters!$B$37/12</f>
        <v>49100.09261080198</v>
      </c>
      <c r="Q81" s="46">
        <f>(SUM($AA$18:$AA$29)-SUM($AA$36,$AA$42,$AA$48,$AA$54,$AA$60,$AA$66,$AA$72:$AA$79))*Parameters!$B$37/12</f>
        <v>49100.09261080198</v>
      </c>
      <c r="R81" s="46">
        <f>(SUM($AA$18:$AA$29)-SUM($AA$36,$AA$42,$AA$48,$AA$54,$AA$60,$AA$66,$AA$72:$AA$79))*Parameters!$B$37/12</f>
        <v>49100.09261080198</v>
      </c>
      <c r="S81" s="46">
        <f>(SUM($AA$18:$AA$29)-SUM($AA$36,$AA$42,$AA$48,$AA$54,$AA$60,$AA$66,$AA$72:$AA$79))*Parameters!$B$37/12</f>
        <v>49100.09261080198</v>
      </c>
      <c r="T81" s="46">
        <f>(SUM($AA$18:$AA$29)-SUM($AA$36,$AA$42,$AA$48,$AA$54,$AA$60,$AA$66,$AA$72:$AA$79))*Parameters!$B$37/12</f>
        <v>49100.09261080198</v>
      </c>
      <c r="U81" s="46">
        <f>(SUM($AA$18:$AA$29)-SUM($AA$36,$AA$42,$AA$48,$AA$54,$AA$60,$AA$66,$AA$72:$AA$79))*Parameters!$B$37/12</f>
        <v>49100.09261080198</v>
      </c>
      <c r="V81" s="46">
        <f>(SUM($AA$18:$AA$29)-SUM($AA$36,$AA$42,$AA$48,$AA$54,$AA$60,$AA$66,$AA$72:$AA$79))*Parameters!$B$37/12</f>
        <v>49100.09261080198</v>
      </c>
      <c r="W81" s="46">
        <f>(SUM($AA$18:$AA$29)-SUM($AA$36,$AA$42,$AA$48,$AA$54,$AA$60,$AA$66,$AA$72:$AA$79))*Parameters!$B$37/12</f>
        <v>49100.09261080198</v>
      </c>
      <c r="X81" s="46">
        <f>(SUM($AA$18:$AA$29)-SUM($AA$36,$AA$42,$AA$48,$AA$54,$AA$60,$AA$66,$AA$72:$AA$79))*Parameters!$B$37/12</f>
        <v>49100.09261080198</v>
      </c>
      <c r="Y81" s="46">
        <f>(SUM($AA$18:$AA$29)-SUM($AA$36,$AA$42,$AA$48,$AA$54,$AA$60,$AA$66,$AA$72:$AA$79))*Parameters!$B$37/12</f>
        <v>49100.09261080198</v>
      </c>
      <c r="Z81" s="46">
        <f>SUMIF($B$13:$Y$13,"Yes",B81:Y81)</f>
        <v>589201.1113296238</v>
      </c>
      <c r="AA81" s="46">
        <f>SUM(B81:M81)</f>
        <v>589201.1113296238</v>
      </c>
      <c r="AB81" s="46">
        <f>SUM(B81:Y81)</f>
        <v>1178402.222659248</v>
      </c>
    </row>
    <row r="82" spans="1:30">
      <c r="A82" s="16" t="s">
        <v>52</v>
      </c>
      <c r="B82" s="46">
        <f>SUM(B83:B87)</f>
        <v>20637.60544635545</v>
      </c>
      <c r="C82" s="46">
        <f>SUM(C83:C87)</f>
        <v>20637.60544635545</v>
      </c>
      <c r="D82" s="46">
        <f>SUM(D83:D87)</f>
        <v>20637.60544635545</v>
      </c>
      <c r="E82" s="46">
        <f>SUM(E83:E87)</f>
        <v>20637.60544635545</v>
      </c>
      <c r="F82" s="46">
        <f>SUM(F83:F87)</f>
        <v>20637.60544635545</v>
      </c>
      <c r="G82" s="46">
        <f>SUM(G83:G87)</f>
        <v>20637.60544635545</v>
      </c>
      <c r="H82" s="46">
        <f>SUM(H83:H87)</f>
        <v>9941.63247338248</v>
      </c>
      <c r="I82" s="46">
        <f>SUM(I83:I87)</f>
        <v>6058.371212121212</v>
      </c>
      <c r="J82" s="46">
        <f>SUM(J83:J87)</f>
        <v>6058.371212121212</v>
      </c>
      <c r="K82" s="46">
        <f>SUM(K83:K87)</f>
        <v>6058.371212121212</v>
      </c>
      <c r="L82" s="46">
        <f>SUM(L83:L87)</f>
        <v>6058.371212121212</v>
      </c>
      <c r="M82" s="46">
        <f>SUM(M83:M87)</f>
        <v>6058.371212121212</v>
      </c>
      <c r="N82" s="46">
        <f>SUM(N83:N87)</f>
        <v>27949.21212121212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164059.1212121212</v>
      </c>
      <c r="AA82" s="46">
        <f>SUM(B82:M82)</f>
        <v>164059.1212121212</v>
      </c>
      <c r="AB82" s="46">
        <f>SUM(B82:Y82)</f>
        <v>192008.3333333334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14579.23423423423</v>
      </c>
      <c r="C83" s="46">
        <f>IF(Calculations!$E23&gt;COUNT(Output!$B$35:C$35),Calculations!$B23,IF(Calculations!$E23=COUNT(Output!$B$35:C$35),Inputs!$B56-Calculations!$C23*(Calculations!$E23-1)+Calculations!$D23,0))</f>
        <v>14579.23423423423</v>
      </c>
      <c r="D83" s="46">
        <f>IF(Calculations!$E23&gt;COUNT(Output!$B$35:D$35),Calculations!$B23,IF(Calculations!$E23=COUNT(Output!$B$35:D$35),Inputs!$B56-Calculations!$C23*(Calculations!$E23-1)+Calculations!$D23,0))</f>
        <v>14579.23423423423</v>
      </c>
      <c r="E83" s="46">
        <f>IF(Calculations!$E23&gt;COUNT(Output!$B$35:E$35),Calculations!$B23,IF(Calculations!$E23=COUNT(Output!$B$35:E$35),Inputs!$B56-Calculations!$C23*(Calculations!$E23-1)+Calculations!$D23,0))</f>
        <v>14579.23423423423</v>
      </c>
      <c r="F83" s="46">
        <f>IF(Calculations!$E23&gt;COUNT(Output!$B$35:F$35),Calculations!$B23,IF(Calculations!$E23=COUNT(Output!$B$35:F$35),Inputs!$B56-Calculations!$C23*(Calculations!$E23-1)+Calculations!$D23,0))</f>
        <v>14579.23423423423</v>
      </c>
      <c r="G83" s="46">
        <f>IF(Calculations!$E23&gt;COUNT(Output!$B$35:G$35),Calculations!$B23,IF(Calculations!$E23=COUNT(Output!$B$35:G$35),Inputs!$B56-Calculations!$C23*(Calculations!$E23-1)+Calculations!$D23,0))</f>
        <v>14579.23423423423</v>
      </c>
      <c r="H83" s="46">
        <f>IF(Calculations!$E23&gt;COUNT(Output!$B$35:H$35),Calculations!$B23,IF(Calculations!$E23=COUNT(Output!$B$35:H$35),Inputs!$B56-Calculations!$C23*(Calculations!$E23-1)+Calculations!$D23,0))</f>
        <v>3883.261261261267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91358.66666666667</v>
      </c>
      <c r="AA83" s="46">
        <f>SUM(B83:M83)</f>
        <v>91358.66666666667</v>
      </c>
      <c r="AB83" s="46">
        <f>SUM(B83:Y83)</f>
        <v>91358.66666666667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6058.371212121212</v>
      </c>
      <c r="C85" s="46">
        <f>IF(Calculations!$E25&gt;COUNT(Output!$B$35:C$35),Calculations!$B25,IF(Calculations!$E25=COUNT(Output!$B$35:C$35),Inputs!$B58-Calculations!$C25*(Calculations!$E25-1)+Calculations!$D25,0))</f>
        <v>6058.371212121212</v>
      </c>
      <c r="D85" s="46">
        <f>IF(Calculations!$E25&gt;COUNT(Output!$B$35:D$35),Calculations!$B25,IF(Calculations!$E25=COUNT(Output!$B$35:D$35),Inputs!$B58-Calculations!$C25*(Calculations!$E25-1)+Calculations!$D25,0))</f>
        <v>6058.371212121212</v>
      </c>
      <c r="E85" s="46">
        <f>IF(Calculations!$E25&gt;COUNT(Output!$B$35:E$35),Calculations!$B25,IF(Calculations!$E25=COUNT(Output!$B$35:E$35),Inputs!$B58-Calculations!$C25*(Calculations!$E25-1)+Calculations!$D25,0))</f>
        <v>6058.371212121212</v>
      </c>
      <c r="F85" s="46">
        <f>IF(Calculations!$E25&gt;COUNT(Output!$B$35:F$35),Calculations!$B25,IF(Calculations!$E25=COUNT(Output!$B$35:F$35),Inputs!$B58-Calculations!$C25*(Calculations!$E25-1)+Calculations!$D25,0))</f>
        <v>6058.371212121212</v>
      </c>
      <c r="G85" s="46">
        <f>IF(Calculations!$E25&gt;COUNT(Output!$B$35:G$35),Calculations!$B25,IF(Calculations!$E25=COUNT(Output!$B$35:G$35),Inputs!$B58-Calculations!$C25*(Calculations!$E25-1)+Calculations!$D25,0))</f>
        <v>6058.371212121212</v>
      </c>
      <c r="H85" s="46">
        <f>IF(Calculations!$E25&gt;COUNT(Output!$B$35:H$35),Calculations!$B25,IF(Calculations!$E25=COUNT(Output!$B$35:H$35),Inputs!$B58-Calculations!$C25*(Calculations!$E25-1)+Calculations!$D25,0))</f>
        <v>6058.371212121212</v>
      </c>
      <c r="I85" s="46">
        <f>IF(Calculations!$E25&gt;COUNT(Output!$B$35:I$35),Calculations!$B25,IF(Calculations!$E25=COUNT(Output!$B$35:I$35),Inputs!$B58-Calculations!$C25*(Calculations!$E25-1)+Calculations!$D25,0))</f>
        <v>6058.371212121212</v>
      </c>
      <c r="J85" s="46">
        <f>IF(Calculations!$E25&gt;COUNT(Output!$B$35:J$35),Calculations!$B25,IF(Calculations!$E25=COUNT(Output!$B$35:J$35),Inputs!$B58-Calculations!$C25*(Calculations!$E25-1)+Calculations!$D25,0))</f>
        <v>6058.371212121212</v>
      </c>
      <c r="K85" s="46">
        <f>IF(Calculations!$E25&gt;COUNT(Output!$B$35:K$35),Calculations!$B25,IF(Calculations!$E25=COUNT(Output!$B$35:K$35),Inputs!$B58-Calculations!$C25*(Calculations!$E25-1)+Calculations!$D25,0))</f>
        <v>6058.371212121212</v>
      </c>
      <c r="L85" s="46">
        <f>IF(Calculations!$E25&gt;COUNT(Output!$B$35:L$35),Calculations!$B25,IF(Calculations!$E25=COUNT(Output!$B$35:L$35),Inputs!$B58-Calculations!$C25*(Calculations!$E25-1)+Calculations!$D25,0))</f>
        <v>6058.371212121212</v>
      </c>
      <c r="M85" s="46">
        <f>IF(Calculations!$E25&gt;COUNT(Output!$B$35:M$35),Calculations!$B25,IF(Calculations!$E25=COUNT(Output!$B$35:M$35),Inputs!$B58-Calculations!$C25*(Calculations!$E25-1)+Calculations!$D25,0))</f>
        <v>6058.371212121212</v>
      </c>
      <c r="N85" s="46">
        <f>IF(Calculations!$E25&gt;COUNT(Output!$B$35:N$35),Calculations!$B25,IF(Calculations!$E25=COUNT(Output!$B$35:N$35),Inputs!$B58-Calculations!$C25*(Calculations!$E25-1)+Calculations!$D25,0))</f>
        <v>27949.21212121212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72700.45454545456</v>
      </c>
      <c r="AA85" s="46">
        <f>SUM(B85:M85)</f>
        <v>72700.45454545456</v>
      </c>
      <c r="AB85" s="46">
        <f>SUM(B85:Y85)</f>
        <v>100649.6666666667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132311.6563904908</v>
      </c>
      <c r="C88" s="19">
        <f>SUM(C72:C82,C66,C60,C54,C48,C42,C36)</f>
        <v>130311.6563904908</v>
      </c>
      <c r="D88" s="19">
        <f>SUM(D72:D82,D66,D60,D54,D48,D42,D36)</f>
        <v>130311.6563904908</v>
      </c>
      <c r="E88" s="19">
        <f>SUM(E72:E82,E66,E60,E54,E48,E42,E36)</f>
        <v>130311.6563904908</v>
      </c>
      <c r="F88" s="19">
        <f>SUM(F72:F82,F66,F60,F54,F48,F42,F36)</f>
        <v>130311.6563904908</v>
      </c>
      <c r="G88" s="19">
        <f>SUM(G72:G82,G66,G60,G54,G48,G42,G36)</f>
        <v>130311.6563904908</v>
      </c>
      <c r="H88" s="19">
        <f>SUM(H72:H82,H66,H60,H54,H48,H42,H36)</f>
        <v>119615.6834175178</v>
      </c>
      <c r="I88" s="19">
        <f>SUM(I72:I82,I66,I60,I54,I48,I42,I36)</f>
        <v>115732.4221562565</v>
      </c>
      <c r="J88" s="19">
        <f>SUM(J72:J82,J66,J60,J54,J48,J42,J36)</f>
        <v>115732.4221562565</v>
      </c>
      <c r="K88" s="19">
        <f>SUM(K72:K82,K66,K60,K54,K48,K42,K36)</f>
        <v>115732.4221562565</v>
      </c>
      <c r="L88" s="19">
        <f>SUM(L72:L82,L66,L60,L54,L48,L42,L36)</f>
        <v>115732.4221562565</v>
      </c>
      <c r="M88" s="19">
        <f>SUM(M72:M82,M66,M60,M54,M48,M42,M36)</f>
        <v>115732.4221562565</v>
      </c>
      <c r="N88" s="19">
        <f>SUM(N72:N82,N66,N60,N54,N48,N42,N36)</f>
        <v>139623.2630653474</v>
      </c>
      <c r="O88" s="19">
        <f>SUM(O72:O82,O66,O60,O54,O48,O42,O36)</f>
        <v>109674.0509441353</v>
      </c>
      <c r="P88" s="19">
        <f>SUM(P72:P82,P66,P60,P54,P48,P42,P36)</f>
        <v>109674.0509441353</v>
      </c>
      <c r="Q88" s="19">
        <f>SUM(Q72:Q82,Q66,Q60,Q54,Q48,Q42,Q36)</f>
        <v>109674.0509441353</v>
      </c>
      <c r="R88" s="19">
        <f>SUM(R72:R82,R66,R60,R54,R48,R42,R36)</f>
        <v>109674.0509441353</v>
      </c>
      <c r="S88" s="19">
        <f>SUM(S72:S82,S66,S60,S54,S48,S42,S36)</f>
        <v>109674.0509441353</v>
      </c>
      <c r="T88" s="19">
        <f>SUM(T72:T82,T66,T60,T54,T48,T42,T36)</f>
        <v>109674.0509441353</v>
      </c>
      <c r="U88" s="19">
        <f>SUM(U72:U82,U66,U60,U54,U48,U42,U36)</f>
        <v>109674.0509441353</v>
      </c>
      <c r="V88" s="19">
        <f>SUM(V72:V82,V66,V60,V54,V48,V42,V36)</f>
        <v>109674.0509441353</v>
      </c>
      <c r="W88" s="19">
        <f>SUM(W72:W82,W66,W60,W54,W48,W42,W36)</f>
        <v>109674.0509441353</v>
      </c>
      <c r="X88" s="19">
        <f>SUM(X72:X82,X66,X60,X54,X48,X42,X36)</f>
        <v>109674.0509441353</v>
      </c>
      <c r="Y88" s="19">
        <f>SUM(Y72:Y82,Y66,Y60,Y54,Y48,Y42,Y36)</f>
        <v>109674.0509441353</v>
      </c>
      <c r="Z88" s="19">
        <f>SUMIF($B$13:$Y$13,"Yes",B88:Y88)</f>
        <v>1482147.732541745</v>
      </c>
      <c r="AA88" s="19">
        <f>SUM(B88:M88)</f>
        <v>1482147.732541745</v>
      </c>
      <c r="AB88" s="19">
        <f>SUM(B88:Y88)</f>
        <v>2828185.555992582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836000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1316000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153600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303600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3</v>
      </c>
      <c r="D19" s="145">
        <v>3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/>
      <c r="L19" s="25"/>
    </row>
    <row r="20" spans="1:48">
      <c r="A20" s="143" t="s">
        <v>108</v>
      </c>
      <c r="B20" s="16"/>
      <c r="C20" s="143">
        <v>1</v>
      </c>
      <c r="D20" s="147">
        <v>0</v>
      </c>
      <c r="E20" s="16"/>
      <c r="F20" s="147" t="s">
        <v>92</v>
      </c>
      <c r="G20" s="16"/>
      <c r="H20" s="16"/>
      <c r="I20" s="147" t="s">
        <v>109</v>
      </c>
      <c r="J20" s="147">
        <v>0</v>
      </c>
      <c r="K20" s="147"/>
      <c r="L20" s="30"/>
    </row>
    <row r="21" spans="1:48">
      <c r="A21" s="144" t="s">
        <v>110</v>
      </c>
      <c r="B21" s="23"/>
      <c r="C21" s="144">
        <v>3</v>
      </c>
      <c r="D21" s="150">
        <v>0</v>
      </c>
      <c r="E21" s="23"/>
      <c r="F21" s="150" t="s">
        <v>92</v>
      </c>
      <c r="G21" s="23"/>
      <c r="H21" s="23"/>
      <c r="I21" s="150" t="s">
        <v>109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130000</v>
      </c>
    </row>
    <row r="31" spans="1:48">
      <c r="A31" s="5" t="s">
        <v>117</v>
      </c>
      <c r="B31" s="158">
        <v>50000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200000</v>
      </c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250000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30000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95000</v>
      </c>
      <c r="B56" s="159">
        <v>79167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40000</v>
      </c>
      <c r="B57" s="157">
        <v>0</v>
      </c>
      <c r="C57" s="164" t="s">
        <v>146</v>
      </c>
      <c r="D57" s="165" t="s">
        <v>144</v>
      </c>
      <c r="E57" s="165" t="s">
        <v>92</v>
      </c>
      <c r="F57" s="165" t="s">
        <v>147</v>
      </c>
    </row>
    <row r="58" spans="1:48">
      <c r="A58" s="157">
        <v>110000</v>
      </c>
      <c r="B58" s="157">
        <v>74433</v>
      </c>
      <c r="C58" s="164" t="s">
        <v>148</v>
      </c>
      <c r="D58" s="165" t="s">
        <v>144</v>
      </c>
      <c r="E58" s="165" t="s">
        <v>92</v>
      </c>
      <c r="F58" s="165" t="s">
        <v>145</v>
      </c>
    </row>
    <row r="59" spans="1:48">
      <c r="A59" s="157">
        <v>6667</v>
      </c>
      <c r="B59" s="157">
        <v>0</v>
      </c>
      <c r="C59" s="164" t="s">
        <v>149</v>
      </c>
      <c r="D59" s="165" t="s">
        <v>144</v>
      </c>
      <c r="E59" s="165" t="s">
        <v>92</v>
      </c>
      <c r="F59" s="165" t="s">
        <v>150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152</v>
      </c>
      <c r="C65" s="10" t="s">
        <v>153</v>
      </c>
    </row>
    <row r="66" spans="1:48">
      <c r="A66" s="142" t="s">
        <v>154</v>
      </c>
      <c r="B66" s="159">
        <v>25145</v>
      </c>
      <c r="C66" s="163">
        <v>9071</v>
      </c>
      <c r="D66" s="49">
        <f>INDEX(Parameters!$D$79:$D$90,MATCH(Inputs!A66,Parameters!$C$79:$C$90,0))</f>
        <v>10</v>
      </c>
    </row>
    <row r="67" spans="1:48">
      <c r="A67" s="143" t="s">
        <v>155</v>
      </c>
      <c r="B67" s="157">
        <v>100292</v>
      </c>
      <c r="C67" s="165">
        <v>73053</v>
      </c>
      <c r="D67" s="49">
        <f>INDEX(Parameters!$D$79:$D$90,MATCH(Inputs!A67,Parameters!$C$79:$C$90,0))</f>
        <v>9</v>
      </c>
    </row>
    <row r="68" spans="1:48">
      <c r="A68" s="143" t="s">
        <v>156</v>
      </c>
      <c r="B68" s="157">
        <v>81650</v>
      </c>
      <c r="C68" s="165">
        <v>53574</v>
      </c>
      <c r="D68" s="49">
        <f>INDEX(Parameters!$D$79:$D$90,MATCH(Inputs!A68,Parameters!$C$79:$C$90,0))</f>
        <v>8</v>
      </c>
    </row>
    <row r="69" spans="1:48">
      <c r="A69" s="143" t="s">
        <v>157</v>
      </c>
      <c r="B69" s="157">
        <v>115000</v>
      </c>
      <c r="C69" s="165">
        <v>79462</v>
      </c>
      <c r="D69" s="49">
        <f>INDEX(Parameters!$D$79:$D$90,MATCH(Inputs!A69,Parameters!$C$79:$C$90,0))</f>
        <v>7</v>
      </c>
    </row>
    <row r="70" spans="1:48">
      <c r="A70" s="143" t="s">
        <v>158</v>
      </c>
      <c r="B70" s="157">
        <v>56743</v>
      </c>
      <c r="C70" s="165">
        <v>22701</v>
      </c>
      <c r="D70" s="49">
        <f>INDEX(Parameters!$D$79:$D$90,MATCH(Inputs!A70,Parameters!$C$79:$C$90,0))</f>
        <v>6</v>
      </c>
    </row>
    <row r="71" spans="1:48">
      <c r="A71" s="144" t="s">
        <v>159</v>
      </c>
      <c r="B71" s="158">
        <v>85927</v>
      </c>
      <c r="C71" s="167">
        <v>56920</v>
      </c>
      <c r="D71" s="49">
        <f>INDEX(Parameters!$D$79:$D$90,MATCH(Inputs!A71,Parameters!$C$79:$C$90,0))</f>
        <v>5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25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150000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12</v>
      </c>
    </row>
    <row r="86" spans="1:48">
      <c r="A86" t="s">
        <v>175</v>
      </c>
      <c r="B86" s="161"/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Tea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43040</v>
      </c>
      <c r="C4" s="38">
        <f>IFERROR(DATE(YEAR(B4),MONTH(B4)+ROUND(T4/2,0),DAY(B4)),B4)</f>
        <v>43040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839.7170547214236</v>
      </c>
      <c r="M4" s="25">
        <f>L4*H4</f>
        <v>1679.434109442847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32.2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54077.77832405967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0.6956521739130435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57000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1</v>
      </c>
      <c r="E15" s="16">
        <f>Inputs!D20</f>
        <v>0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6.140350877192983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18.42105263157895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9125</v>
      </c>
      <c r="R15" s="64">
        <f>IFERROR(D15*INDEX(Parameters!$A$22:$P$29,MATCH(Calculations!$A15,Parameters!$A$22:$A$29,0),MATCH(Parameters!$M$22,Parameters!$A$22:$P$22,0)),"")</f>
        <v>1000</v>
      </c>
      <c r="S15" s="64">
        <f>IFERROR(D15*INDEX(Parameters!$A$22:$P$29,MATCH(Calculations!$A15,Parameters!$A$22:$A$29,0),MATCH(Parameters!$N$22,Parameters!$A$22:$P$22,0)),"")</f>
        <v>6000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3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2.3</v>
      </c>
      <c r="H16" s="122">
        <f>IFERROR(IF(B16="meat",INDEX(Parameters!$A$22:$P$29,MATCH(Calculations!A16,Parameters!$A$22:$A$29,0),MATCH(Parameters!$I$22,Parameters!$A$22:$P$22,0))*G16,""),"")</f>
        <v>34.5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12000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12937.5</v>
      </c>
      <c r="Q16" s="64">
        <f>IFERROR(D16*INDEX(Parameters!$A$22:$P$29,MATCH(Calculations!$A16,Parameters!$A$22:$A$29,0),MATCH(Parameters!$L$22,Parameters!$A$22:$P$22,0))*IF(Inputs!I21="Always",1,IF(Inputs!I21="Sometimes",0.5,0))*365,"")</f>
        <v>2737.5</v>
      </c>
      <c r="R16" s="64">
        <f>IFERROR(D16*INDEX(Parameters!$A$22:$P$29,MATCH(Calculations!$A16,Parameters!$A$22:$A$29,0),MATCH(Parameters!$M$22,Parameters!$A$22:$P$22,0)),"")</f>
        <v>600</v>
      </c>
      <c r="S16" s="64">
        <f>IFERROR(D16*INDEX(Parameters!$A$22:$P$29,MATCH(Calculations!$A16,Parameters!$A$22:$A$29,0),MATCH(Parameters!$N$22,Parameters!$A$22:$P$22,0)),"")</f>
        <v>900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2.3</v>
      </c>
      <c r="H17" s="123">
        <f>IFERROR(IF(B17="meat",INDEX(Parameters!$A$22:$P$29,MATCH(Calculations!A17,Parameters!$A$22:$A$29,0),MATCH(Parameters!$I$22,Parameters!$A$22:$P$22,0))*G17,""),"")</f>
        <v>34.5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43586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25875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95000</v>
      </c>
      <c r="B23" s="75">
        <f>SUM(C23:D23)</f>
        <v>14579.23423423423</v>
      </c>
      <c r="C23" s="75">
        <f>IF(Inputs!B56&gt;0,(Inputs!A56-Inputs!B56)/(DATE(YEAR(Inputs!$B$76),MONTH(Inputs!$B$76),DAY(Inputs!$B$76))-DATE(YEAR(Inputs!C56),MONTH(Inputs!C56),DAY(Inputs!C56)))*30,0)</f>
        <v>12837.56756756757</v>
      </c>
      <c r="D23" s="75">
        <f>IF(Inputs!B56&gt;0,Inputs!A56*0.22/12,0)</f>
        <v>1741.666666666667</v>
      </c>
      <c r="E23" s="75">
        <f>IFERROR(ROUNDUP(Inputs!B56/C23,0),0)</f>
        <v>7</v>
      </c>
    </row>
    <row r="24" spans="1:52">
      <c r="A24" s="46">
        <f>Inputs!A57</f>
        <v>40000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110000</v>
      </c>
      <c r="B25" s="46">
        <f>SUM(C25:D25)</f>
        <v>6058.371212121212</v>
      </c>
      <c r="C25" s="46">
        <f>IF(Inputs!B58&gt;0,(Inputs!A58-Inputs!B58)/(DATE(YEAR(Inputs!$B$76),MONTH(Inputs!$B$76),DAY(Inputs!$B$76))-DATE(YEAR(Inputs!C58),MONTH(Inputs!C58),DAY(Inputs!C58)))*30,0)</f>
        <v>4041.704545454545</v>
      </c>
      <c r="D25" s="46">
        <f>IF(Inputs!B58&gt;0,Inputs!A58*0.22/12,0)</f>
        <v>2016.666666666667</v>
      </c>
      <c r="E25" s="46">
        <f>IFERROR(ROUNDUP(Inputs!B58/B25,0),0)</f>
        <v>13</v>
      </c>
    </row>
    <row r="26" spans="1:52">
      <c r="A26" s="46">
        <f>Inputs!A59</f>
        <v>6667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43056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43040</v>
      </c>
      <c r="F33" t="s">
        <v>165</v>
      </c>
      <c r="G33" s="128">
        <f>IF(Inputs!B79="","",DATE(YEAR(Inputs!B79),MONTH(Inputs!B79),DAY(Inputs!B79)))</f>
        <v>43052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43086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43070</v>
      </c>
      <c r="F34" t="s">
        <v>167</v>
      </c>
      <c r="G34" s="128">
        <f>IF(Inputs!B80="","",DATE(YEAR(Inputs!B80),MONTH(Inputs!B80),DAY(Inputs!B80)))</f>
        <v>43056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43117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43101</v>
      </c>
      <c r="F35" t="s">
        <v>169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43148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43132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43176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43160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43207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43191</v>
      </c>
      <c r="F38" t="s">
        <v>232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43237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43221</v>
      </c>
      <c r="F39" t="s">
        <v>175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43268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43252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43298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43282</v>
      </c>
      <c r="F41" t="s">
        <v>233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43329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43313</v>
      </c>
      <c r="F42" t="s">
        <v>234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43360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43390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89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207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299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306</v>
      </c>
      <c r="B26" s="16" t="s">
        <v>303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307</v>
      </c>
      <c r="B27" s="71" t="s">
        <v>303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110</v>
      </c>
      <c r="B28" s="71" t="s">
        <v>303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303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299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306</v>
      </c>
      <c r="B45" s="72">
        <v>25000</v>
      </c>
      <c r="C45" s="72">
        <v>50000</v>
      </c>
    </row>
    <row r="46" spans="1:36">
      <c r="A46" t="s">
        <v>307</v>
      </c>
      <c r="B46" s="72">
        <v>6000</v>
      </c>
      <c r="C46" s="72">
        <v>12000</v>
      </c>
    </row>
    <row r="47" spans="1:36">
      <c r="A47" t="s">
        <v>110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277</v>
      </c>
      <c r="E52" s="12" t="s">
        <v>277</v>
      </c>
      <c r="F52" s="12" t="s">
        <v>277</v>
      </c>
      <c r="G52" s="12" t="s">
        <v>319</v>
      </c>
      <c r="H52" s="12" t="s">
        <v>320</v>
      </c>
      <c r="I52" s="12" t="s">
        <v>128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235</v>
      </c>
      <c r="E53" s="10" t="s">
        <v>194</v>
      </c>
      <c r="F53" s="10" t="s">
        <v>254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172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231</v>
      </c>
      <c r="J76" s="11" t="s">
        <v>353</v>
      </c>
      <c r="K76" s="11" t="s">
        <v>184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93</v>
      </c>
      <c r="F77" s="12" t="s">
        <v>93</v>
      </c>
      <c r="G77" s="12" t="s">
        <v>355</v>
      </c>
      <c r="H77" s="12" t="s">
        <v>320</v>
      </c>
      <c r="I77" s="12" t="s">
        <v>356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357</v>
      </c>
      <c r="D78" s="133"/>
      <c r="E78" s="12" t="s">
        <v>358</v>
      </c>
      <c r="F78" s="12" t="s">
        <v>359</v>
      </c>
      <c r="G78" s="12" t="s">
        <v>109</v>
      </c>
      <c r="H78" s="12" t="s">
        <v>128</v>
      </c>
      <c r="I78" s="12" t="s">
        <v>360</v>
      </c>
      <c r="J78" s="70" t="s">
        <v>361</v>
      </c>
      <c r="K78" s="12" t="s">
        <v>93</v>
      </c>
      <c r="AJ78" s="12"/>
    </row>
    <row r="79" spans="1:36">
      <c r="B79" s="176">
        <v>10</v>
      </c>
      <c r="C79" s="12" t="s">
        <v>362</v>
      </c>
      <c r="D79" s="12">
        <v>1</v>
      </c>
      <c r="E79" s="12" t="s">
        <v>363</v>
      </c>
      <c r="F79" s="12" t="s">
        <v>364</v>
      </c>
      <c r="G79" s="12" t="s">
        <v>365</v>
      </c>
      <c r="I79" s="12" t="s">
        <v>172</v>
      </c>
      <c r="J79" s="70" t="s">
        <v>366</v>
      </c>
      <c r="K79" s="12" t="s">
        <v>93</v>
      </c>
      <c r="AJ79" s="12"/>
    </row>
    <row r="80" spans="1:36">
      <c r="B80" s="176">
        <v>20</v>
      </c>
      <c r="C80" s="12" t="s">
        <v>367</v>
      </c>
      <c r="D80" s="12">
        <f>D79+1</f>
        <v>2</v>
      </c>
      <c r="E80" s="12" t="s">
        <v>91</v>
      </c>
      <c r="F80" s="12" t="s">
        <v>368</v>
      </c>
      <c r="J80" s="70" t="s">
        <v>369</v>
      </c>
      <c r="K80" s="12" t="s">
        <v>92</v>
      </c>
      <c r="AJ80" s="12"/>
    </row>
    <row r="81" spans="1:36">
      <c r="B81" s="176">
        <v>30</v>
      </c>
      <c r="C81" s="12" t="s">
        <v>370</v>
      </c>
      <c r="D81" s="12">
        <f>D80+1</f>
        <v>3</v>
      </c>
      <c r="J81" s="70" t="s">
        <v>371</v>
      </c>
      <c r="K81" s="12" t="s">
        <v>92</v>
      </c>
    </row>
    <row r="82" spans="1:36">
      <c r="B82" s="176">
        <v>40</v>
      </c>
      <c r="C82" s="12" t="s">
        <v>372</v>
      </c>
      <c r="D82" s="12">
        <f>D81+1</f>
        <v>4</v>
      </c>
      <c r="J82" s="70"/>
    </row>
    <row r="83" spans="1:36">
      <c r="B83" s="176">
        <v>50</v>
      </c>
      <c r="C83" s="12" t="s">
        <v>159</v>
      </c>
      <c r="D83" s="12">
        <f>D82+1</f>
        <v>5</v>
      </c>
    </row>
    <row r="84" spans="1:36">
      <c r="B84" s="176">
        <v>60</v>
      </c>
      <c r="C84" s="12" t="s">
        <v>158</v>
      </c>
      <c r="D84" s="12">
        <f>D83+1</f>
        <v>6</v>
      </c>
    </row>
    <row r="85" spans="1:36">
      <c r="B85" s="176">
        <v>70</v>
      </c>
      <c r="C85" s="12" t="s">
        <v>157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155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94</v>
      </c>
      <c r="D89" s="12">
        <f>D88+1</f>
        <v>11</v>
      </c>
    </row>
    <row r="90" spans="1:36">
      <c r="C90" s="12" t="s">
        <v>373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