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<sst xmlns="http://schemas.openxmlformats.org/spreadsheetml/2006/main" uniqueCount="365">
  <si>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</si>
  <si>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</si>
  <si>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</si>
  <si>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</si>
  <si>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</si>
  <si>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</si>
  <si>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</si>
  <si>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</si>
  <si>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</si>
  <si>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</si>
  <si>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</si>
  <si>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</si>
  <si>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</si>
  <si>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</si>
  <si>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</si>
  <si>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</si>
  <si>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</si>
  <si>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</si>
  <si>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</si>
  <si>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</si>
  <si>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</si>
  <si>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</si>
  <si>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</si>
  <si>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</si>
  <si>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</si>
  <si>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</si>
  <si>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</si>
  <si>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</si>
  <si>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</si>
  <si>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</si>
  <si>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</si>
  <si>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</si>
  <si>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</si>
  <si>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</si>
  <si>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</si>
  <si>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</si>
  <si>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</si>
  <si>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</si>
  <si>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</si>
  <si>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</si>
  <si>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</si>
  <si>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</si>
  <si>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</si>
  <si>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</si>
  <si>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</si>
  <si>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</si>
  <si>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</si>
  <si>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</si>
  <si>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</si>
  <si>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</si>
  <si>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</si>
  <si>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</si>
  <si>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</si>
  <si>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</si>
  <si>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</si>
  <si>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</si>
  <si>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</si>
  <si>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</si>
  <si>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</si>
  <si>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</si>
  <si>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</si>
  <si>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</si>
  <si>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</si>
  <si>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</si>
  <si>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</si>
  <si>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</si>
  <si>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</si>
  <si>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</si>
  <si>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</si>
  <si>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</si>
  <si>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</si>
  <si>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</si>
  <si>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</si>
  <si>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</si>
  <si>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</si>
  <si>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</si>
  <si>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</si>
  <si>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</si>
  <si>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</si>
  <si>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</si>
  <si>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</si>
  <si>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</si>
  <si>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</si>
  <si>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</si>
  <si>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</si>
  <si>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</si>
  <si>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</si>
  <si>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</si>
  <si>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</si>
  <si>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</si>
  <si>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</si>
  <si>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Inorganic fertizers</t>
  </si>
  <si>
    <t>Yes</t>
  </si>
  <si>
    <t>Yes using a diesel pump</t>
  </si>
  <si>
    <t>February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</si>
  <si>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</si>
  <si>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</si>
  <si>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</si>
  <si>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</si>
  <si>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</si>
  <si>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</si>
  <si>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</si>
  <si>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</si>
  <si>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</si>
  <si>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</si>
  <si>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</si>
  <si>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</si>
  <si>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</si>
  <si>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</si>
  <si>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No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</si>
  <si>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</si>
  <si>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</si>
  <si>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</si>
  <si>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</si>
  <si>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</si>
  <si>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</si>
  <si>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</si>
  <si>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</si>
  <si>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</si>
  <si>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</si>
  <si>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</si>
  <si>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</si>
  <si>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</si>
  <si>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</si>
  <si>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</si>
  <si>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</si>
  <si>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</si>
  <si>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</si>
  <si>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</si>
  <si>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</si>
  <si>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</si>
  <si>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</si>
  <si>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</si>
  <si>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</si>
  <si>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</si>
  <si>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</si>
  <si>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</si>
  <si>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</si>
  <si>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</si>
  <si>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</si>
  <si>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</si>
  <si>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</si>
  <si>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</si>
  <si>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</si>
  <si>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</si>
  <si>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May</t>
  </si>
  <si>
    <t>June</t>
  </si>
  <si>
    <t>July</t>
  </si>
  <si>
    <t>August</t>
  </si>
  <si>
    <t>September</t>
  </si>
  <si>
    <t>October</t>
  </si>
  <si>
    <t>Loan info</t>
  </si>
  <si>
    <t>Branch ID</t>
  </si>
  <si>
    <t>Submission date</t>
  </si>
  <si>
    <t>2017/11/20</t>
  </si>
  <si>
    <t>Loan terms</t>
  </si>
  <si>
    <t>Expected disbursement date</t>
  </si>
  <si>
    <t>Expected first repayment date</t>
  </si>
  <si>
    <t>2017/12/29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</si>
  <si>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</si>
  <si>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</si>
  <si>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</si>
  <si>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</si>
  <si>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</si>
  <si>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</si>
  <si>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</si>
  <si>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</si>
  <si>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</si>
  <si>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</si>
  <si>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</si>
  <si>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</si>
  <si>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</si>
  <si>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</si>
  <si>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</si>
  <si>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</si>
  <si>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</si>
  <si>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</si>
  <si>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</si>
  <si>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</si>
  <si>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</si>
  <si>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</si>
  <si>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</si>
  <si>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</si>
  <si>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</si>
  <si>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</si>
  <si>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</si>
  <si>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</si>
  <si>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</si>
  <si>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</si>
  <si>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</si>
  <si>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</si>
  <si>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</si>
  <si>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</si>
  <si>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</si>
  <si>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</si>
  <si>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</si>
  <si>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</si>
  <si>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</si>
  <si>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</si>
  <si>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</si>
  <si>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</si>
  <si>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</si>
  <si>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</si>
  <si>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</si>
  <si>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</si>
  <si>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</si>
  <si>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</si>
  <si>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</si>
  <si>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</si>
  <si>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</si>
  <si>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</si>
  <si>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</si>
  <si>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</si>
  <si>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</si>
  <si>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</si>
  <si>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</si>
  <si>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</si>
  <si>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</si>
  <si>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</si>
  <si>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</si>
  <si>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</si>
  <si>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</si>
  <si>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</si>
  <si>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</si>
  <si>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</si>
  <si>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</si>
  <si>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</si>
  <si>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</si>
  <si>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</si>
  <si>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</si>
  <si>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</si>
  <si>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</si>
  <si>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</si>
  <si>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</si>
  <si>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</si>
  <si>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</si>
  <si>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</si>
  <si>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</si>
  <si>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</si>
  <si>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</si>
  <si>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</si>
  <si>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</si>
  <si>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</si>
  <si>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</si>
  <si>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</si>
  <si>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</si>
  <si>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</si>
  <si>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</si>
  <si>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</si>
  <si>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</si>
  <si>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</si>
  <si>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</si>
  <si>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</si>
  <si>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</si>
  <si>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</si>
  <si>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</si>
  <si>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</si>
  <si>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</si>
  <si>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</si>
  <si>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</si>
  <si>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</si>
  <si>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</si>
  <si>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</si>
  <si>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</si>
  <si>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</si>
  <si>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</si>
  <si>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</si>
  <si>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</si>
  <si>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</si>
  <si>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</si>
  <si>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</si>
  <si>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</si>
  <si>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</si>
  <si>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</si>
  <si>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</si>
  <si>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</si>
  <si>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</si>
  <si>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</si>
  <si>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</si>
  <si>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</si>
  <si>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</si>
  <si>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</si>
  <si>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</si>
  <si>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</si>
  <si>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</si>
  <si>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</si>
  <si>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</si>
  <si>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</si>
  <si>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</si>
  <si>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</si>
  <si>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</si>
  <si>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</si>
  <si>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</si>
  <si>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</si>
  <si>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</si>
  <si>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</si>
  <si>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</si>
  <si>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</si>
  <si>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</si>
  <si>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</si>
  <si>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</si>
  <si>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</si>
  <si>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</si>
  <si>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</si>
  <si>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</si>
  <si>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</si>
  <si>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</si>
  <si>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</si>
  <si>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</si>
  <si>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</si>
  <si>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</si>
  <si>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</si>
  <si>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</si>
  <si>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</si>
  <si>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</si>
  <si>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</si>
  <si>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</si>
  <si>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</si>
  <si>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</si>
  <si>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</si>
  <si>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</si>
  <si>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</si>
  <si>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</si>
  <si>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</si>
  <si>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</si>
  <si>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</si>
  <si>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</si>
  <si>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</si>
  <si>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</si>
  <si>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</si>
  <si>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</si>
  <si>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</si>
  <si>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</si>
  <si>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</si>
  <si>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</si>
  <si>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</si>
  <si>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</si>
  <si>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</si>
  <si>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</si>
  <si>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</si>
  <si>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</si>
  <si>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</si>
  <si>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</si>
  <si>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</si>
  <si>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</si>
  <si>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</si>
  <si>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</si>
  <si>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</si>
  <si>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</si>
  <si>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</si>
  <si>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</si>
  <si>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</si>
  <si>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</si>
  <si>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</si>
  <si>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</si>
  <si>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</si>
  <si>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</si>
  <si>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</si>
  <si>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</si>
  <si>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</si>
  <si>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March</t>
  </si>
  <si>
    <t>NGO</t>
  </si>
  <si>
    <t>April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</si>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</sst>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December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2018</v>
      </c>
    </row>
    <row r="13" spans="1:7">
      <c r="B13" s="1" t="s">
        <v>8</v>
      </c>
      <c r="C13" s="67">
        <f>IFERROR(Output!B107/Output!B101,"")</f>
        <v>0.03120567375886525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-501270</v>
      </c>
    </row>
    <row r="18" spans="1:7">
      <c r="B18" s="1" t="s">
        <v>12</v>
      </c>
      <c r="C18" s="36">
        <f>MIN(Output!B6:M6)</f>
        <v>-76392.5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April 2018</v>
      </c>
    </row>
    <row r="20" spans="1:7">
      <c r="B20" s="1" t="s">
        <v>14</v>
      </c>
      <c r="C20" s="36">
        <f>MAX(Output!B6:M6)</f>
        <v>17327.5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1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-40392.5</v>
      </c>
      <c r="C6" s="51">
        <f>C30-C88</f>
        <v>-40392.5</v>
      </c>
      <c r="D6" s="51">
        <f>D30-D88</f>
        <v>17327.5</v>
      </c>
      <c r="E6" s="51">
        <f>E30-E88</f>
        <v>-70392.5</v>
      </c>
      <c r="F6" s="51">
        <f>F30-F88</f>
        <v>-40392.5</v>
      </c>
      <c r="G6" s="51">
        <f>G30-G88</f>
        <v>-76392.5</v>
      </c>
      <c r="H6" s="51">
        <f>H30-H88</f>
        <v>-40392.5</v>
      </c>
      <c r="I6" s="51">
        <f>I30-I88</f>
        <v>-40392.5</v>
      </c>
      <c r="J6" s="51">
        <f>J30-J88</f>
        <v>17327.5</v>
      </c>
      <c r="K6" s="51">
        <f>K30-K88</f>
        <v>-70392.5</v>
      </c>
      <c r="L6" s="51">
        <f>L30-L88</f>
        <v>-40392.5</v>
      </c>
      <c r="M6" s="51">
        <f>M30-M88</f>
        <v>-76392.5</v>
      </c>
      <c r="N6" s="51">
        <f>N30-N88</f>
        <v>-40392.5</v>
      </c>
      <c r="O6" s="51">
        <f>O30-O88</f>
        <v>-40392.5</v>
      </c>
      <c r="P6" s="51">
        <f>P30-P88</f>
        <v>17327.5</v>
      </c>
      <c r="Q6" s="51">
        <f>Q30-Q88</f>
        <v>-70392.5</v>
      </c>
      <c r="R6" s="51">
        <f>R30-R88</f>
        <v>-40392.5</v>
      </c>
      <c r="S6" s="51">
        <f>S30-S88</f>
        <v>-76392.5</v>
      </c>
      <c r="T6" s="51">
        <f>T30-T88</f>
        <v>-40392.5</v>
      </c>
      <c r="U6" s="51">
        <f>U30-U88</f>
        <v>-40392.5</v>
      </c>
      <c r="V6" s="51">
        <f>V30-V88</f>
        <v>17327.5</v>
      </c>
      <c r="W6" s="51">
        <f>W30-W88</f>
        <v>-70392.5</v>
      </c>
      <c r="X6" s="51">
        <f>X30-X88</f>
        <v>-40392.5</v>
      </c>
      <c r="Y6" s="51">
        <f>Y30-Y88</f>
        <v>-76392.5</v>
      </c>
      <c r="Z6" s="51">
        <f>SUMIF($B$13:$Y$13,"Yes",B6:Y6)</f>
        <v>-541662.5</v>
      </c>
      <c r="AA6" s="51">
        <f>AA30-AA88</f>
        <v>-501270</v>
      </c>
      <c r="AB6" s="51">
        <f>AB30-AB88</f>
        <v>-1002540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-8220</v>
      </c>
      <c r="I7" s="80">
        <f>IF(ISERROR(VLOOKUP(MONTH(I5),Inputs!$D$66:$D$71,1,0)),"",INDEX(Inputs!$B$66:$B$71,MATCH(MONTH(Output!I5),Inputs!$D$66:$D$71,0))-INDEX(Inputs!$C$66:$C$71,MATCH(MONTH(Output!I5),Inputs!$D$66:$D$71,0)))</f>
        <v>45310</v>
      </c>
      <c r="J7" s="80">
        <f>IF(ISERROR(VLOOKUP(MONTH(J5),Inputs!$D$66:$D$71,1,0)),"",INDEX(Inputs!$B$66:$B$71,MATCH(MONTH(Output!J5),Inputs!$D$66:$D$71,0))-INDEX(Inputs!$C$66:$C$71,MATCH(MONTH(Output!J5),Inputs!$D$66:$D$71,0)))</f>
        <v>27080</v>
      </c>
      <c r="K7" s="80">
        <f>IF(ISERROR(VLOOKUP(MONTH(K5),Inputs!$D$66:$D$71,1,0)),"",INDEX(Inputs!$B$66:$B$71,MATCH(MONTH(Output!K5),Inputs!$D$66:$D$71,0))-INDEX(Inputs!$C$66:$C$71,MATCH(MONTH(Output!K5),Inputs!$D$66:$D$71,0)))</f>
        <v>7416</v>
      </c>
      <c r="L7" s="80">
        <f>IF(ISERROR(VLOOKUP(MONTH(L5),Inputs!$D$66:$D$71,1,0)),"",INDEX(Inputs!$B$66:$B$71,MATCH(MONTH(Output!L5),Inputs!$D$66:$D$71,0))-INDEX(Inputs!$C$66:$C$71,MATCH(MONTH(Output!L5),Inputs!$D$66:$D$71,0)))</f>
        <v>24642</v>
      </c>
      <c r="M7" s="80">
        <f>IF(ISERROR(VLOOKUP(MONTH(M5),Inputs!$D$66:$D$71,1,0)),"",INDEX(Inputs!$B$66:$B$71,MATCH(MONTH(Output!M5),Inputs!$D$66:$D$71,0))-INDEX(Inputs!$C$66:$C$71,MATCH(MONTH(Output!M5),Inputs!$D$66:$D$71,0)))</f>
        <v>28700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-8220</v>
      </c>
      <c r="U7" s="80">
        <f>IF(ISERROR(VLOOKUP(MONTH(U5),Inputs!$D$66:$D$71,1,0)),"",INDEX(Inputs!$B$66:$B$71,MATCH(MONTH(Output!U5),Inputs!$D$66:$D$71,0))-INDEX(Inputs!$C$66:$C$71,MATCH(MONTH(Output!U5),Inputs!$D$66:$D$71,0)))</f>
        <v>45310</v>
      </c>
      <c r="V7" s="80">
        <f>IF(ISERROR(VLOOKUP(MONTH(V5),Inputs!$D$66:$D$71,1,0)),"",INDEX(Inputs!$B$66:$B$71,MATCH(MONTH(Output!V5),Inputs!$D$66:$D$71,0))-INDEX(Inputs!$C$66:$C$71,MATCH(MONTH(Output!V5),Inputs!$D$66:$D$71,0)))</f>
        <v>27080</v>
      </c>
      <c r="W7" s="80">
        <f>IF(ISERROR(VLOOKUP(MONTH(W5),Inputs!$D$66:$D$71,1,0)),"",INDEX(Inputs!$B$66:$B$71,MATCH(MONTH(Output!W5),Inputs!$D$66:$D$71,0))-INDEX(Inputs!$C$66:$C$71,MATCH(MONTH(Output!W5),Inputs!$D$66:$D$71,0)))</f>
        <v>7416</v>
      </c>
      <c r="X7" s="80">
        <f>IF(ISERROR(VLOOKUP(MONTH(X5),Inputs!$D$66:$D$71,1,0)),"",INDEX(Inputs!$B$66:$B$71,MATCH(MONTH(Output!X5),Inputs!$D$66:$D$71,0))-INDEX(Inputs!$C$66:$C$71,MATCH(MONTH(Output!X5),Inputs!$D$66:$D$71,0)))</f>
        <v>24642</v>
      </c>
      <c r="Y7" s="80">
        <f>IF(ISERROR(VLOOKUP(MONTH(Y5),Inputs!$D$66:$D$71,1,0)),"",INDEX(Inputs!$B$66:$B$71,MATCH(MONTH(Output!Y5),Inputs!$D$66:$D$71,0))-INDEX(Inputs!$C$66:$C$71,MATCH(MONTH(Output!Y5),Inputs!$D$66:$D$71,0)))</f>
        <v>28700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20000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220000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159607.5</v>
      </c>
      <c r="C11" s="80">
        <f>C6+C9-C10</f>
        <v>-60392.5</v>
      </c>
      <c r="D11" s="80">
        <f>D6+D9-D10</f>
        <v>-2672.5</v>
      </c>
      <c r="E11" s="80">
        <f>E6+E9-E10</f>
        <v>-90392.5</v>
      </c>
      <c r="F11" s="80">
        <f>F6+F9-F10</f>
        <v>-60392.5</v>
      </c>
      <c r="G11" s="80">
        <f>G6+G9-G10</f>
        <v>-96392.5</v>
      </c>
      <c r="H11" s="80">
        <f>H6+H9-H10</f>
        <v>-60392.5</v>
      </c>
      <c r="I11" s="80">
        <f>I6+I9-I10</f>
        <v>-60392.5</v>
      </c>
      <c r="J11" s="80">
        <f>J6+J9-J10</f>
        <v>-2672.5</v>
      </c>
      <c r="K11" s="80">
        <f>K6+K9-K10</f>
        <v>-90392.5</v>
      </c>
      <c r="L11" s="80">
        <f>L6+L9-L10</f>
        <v>-60392.5</v>
      </c>
      <c r="M11" s="80">
        <f>M6+M9-M10</f>
        <v>-96392.5</v>
      </c>
      <c r="N11" s="80">
        <f>N6+N9-N10</f>
        <v>-60392.5</v>
      </c>
      <c r="O11" s="80">
        <f>O6+O9-O10</f>
        <v>-40392.5</v>
      </c>
      <c r="P11" s="80">
        <f>P6+P9-P10</f>
        <v>17327.5</v>
      </c>
      <c r="Q11" s="80">
        <f>Q6+Q9-Q10</f>
        <v>-70392.5</v>
      </c>
      <c r="R11" s="80">
        <f>R6+R9-R10</f>
        <v>-40392.5</v>
      </c>
      <c r="S11" s="80">
        <f>S6+S9-S10</f>
        <v>-76392.5</v>
      </c>
      <c r="T11" s="80">
        <f>T6+T9-T10</f>
        <v>-40392.5</v>
      </c>
      <c r="U11" s="80">
        <f>U6+U9-U10</f>
        <v>-40392.5</v>
      </c>
      <c r="V11" s="80">
        <f>V6+V9-V10</f>
        <v>17327.5</v>
      </c>
      <c r="W11" s="80">
        <f>W6+W9-W10</f>
        <v>-70392.5</v>
      </c>
      <c r="X11" s="80">
        <f>X6+X9-X10</f>
        <v>-40392.5</v>
      </c>
      <c r="Y11" s="80">
        <f>Y6+Y9-Y10</f>
        <v>-76392.5</v>
      </c>
      <c r="Z11" s="85">
        <f>SUMIF($B$13:$Y$13,"Yes",B11:Y11)</f>
        <v>-581662.5</v>
      </c>
      <c r="AA11" s="80">
        <f>SUM(B11:M11)</f>
        <v>-521270</v>
      </c>
      <c r="AB11" s="46">
        <f>SUM(B11:Y11)</f>
        <v>-1042540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0.1677641236421591</v>
      </c>
      <c r="D12" s="82">
        <f>IF(D13="Yes",IF(SUM($B$10:D10)/(SUM($B$6:D6)+SUM($B$9:D9))&lt;0,999.99,SUM($B$10:D10)/(SUM($B$6:D6)+SUM($B$9:D9))),"")</f>
        <v>0.2929490817877218</v>
      </c>
      <c r="E12" s="82">
        <f>IF(E13="Yes",IF(SUM($B$10:E10)/(SUM($B$6:E6)+SUM($B$9:E9))&lt;0,999.99,SUM($B$10:E10)/(SUM($B$6:E6)+SUM($B$9:E9))),"")</f>
        <v>0.9070294784580499</v>
      </c>
      <c r="F12" s="82">
        <f>IF(F13="Yes",IF(SUM($B$10:F10)/(SUM($B$6:F6)+SUM($B$9:F9))&lt;0,999.99,SUM($B$10:F10)/(SUM($B$6:F6)+SUM($B$9:F9))),"")</f>
        <v>3.105891487916141</v>
      </c>
      <c r="G12" s="82">
        <f>IF(G13="Yes",IF(SUM($B$10:G10)/(SUM($B$6:G6)+SUM($B$9:G9))&lt;0,999.99,SUM($B$10:G10)/(SUM($B$6:G6)+SUM($B$9:G9))),"")</f>
        <v>999.99</v>
      </c>
      <c r="H12" s="82">
        <f>IF(H13="Yes",IF(SUM($B$10:H10)/(SUM($B$6:H6)+SUM($B$9:H9))&lt;0,999.99,SUM($B$10:H10)/(SUM($B$6:H6)+SUM($B$9:H9))),"")</f>
        <v>999.99</v>
      </c>
      <c r="I12" s="82">
        <f>IF(I13="Yes",IF(SUM($B$10:I10)/(SUM($B$6:I6)+SUM($B$9:I9))&lt;0,999.99,SUM($B$10:I10)/(SUM($B$6:I6)+SUM($B$9:I9))),"")</f>
        <v>999.99</v>
      </c>
      <c r="J12" s="82">
        <f>IF(J13="Yes",IF(SUM($B$10:J10)/(SUM($B$6:J6)+SUM($B$9:J9))&lt;0,999.99,SUM($B$10:J10)/(SUM($B$6:J6)+SUM($B$9:J9))),"")</f>
        <v>999.99</v>
      </c>
      <c r="K12" s="82">
        <f>IF(K13="Yes",IF(SUM($B$10:K10)/(SUM($B$6:K6)+SUM($B$9:K9))&lt;0,999.99,SUM($B$10:K10)/(SUM($B$6:K6)+SUM($B$9:K9))),"")</f>
        <v>999.99</v>
      </c>
      <c r="L12" s="82">
        <f>IF(L13="Yes",IF(SUM($B$10:L10)/(SUM($B$6:L6)+SUM($B$9:L9))&lt;0,999.99,SUM($B$10:L10)/(SUM($B$6:L6)+SUM($B$9:L9))),"")</f>
        <v>999.99</v>
      </c>
      <c r="M12" s="82">
        <f>IF(M13="Yes",IF(SUM($B$10:M10)/(SUM($B$6:M6)+SUM($B$9:M9))&lt;0,999.99,SUM($B$10:M10)/(SUM($B$6:M6)+SUM($B$9:M9))),"")</f>
        <v>999.99</v>
      </c>
      <c r="N12" s="82">
        <f>IF(N13="Yes",IF(SUM($B$10:N10)/(SUM($B$6:N6)+SUM($B$9:N9))&lt;0,999.99,SUM($B$10:N10)/(SUM($B$6:N6)+SUM($B$9:N9))),"")</f>
        <v>999.99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60000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30000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30000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30000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30000</v>
      </c>
      <c r="X42" s="36">
        <f>SUM(X43:X47)</f>
        <v>0</v>
      </c>
      <c r="Y42" s="36">
        <f>SUM(Y43:Y47)</f>
        <v>0</v>
      </c>
      <c r="Z42" s="36">
        <f>SUMIF($B$13:$Y$13,"Yes",B42:Y42)</f>
        <v>60000</v>
      </c>
      <c r="AA42" s="36">
        <f>SUM(B42:M42)</f>
        <v>60000</v>
      </c>
      <c r="AB42" s="36">
        <f>SUM(B42:Y42)</f>
        <v>120000</v>
      </c>
    </row>
    <row r="43" spans="1:30" hidden="true" outlineLevel="1">
      <c r="A43" s="181" t="str">
        <f>Calculations!$A$4</f>
        <v>Beans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30000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30000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30000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30000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60000</v>
      </c>
      <c r="AA43" s="36">
        <f>SUM(B43:M43)</f>
        <v>60000</v>
      </c>
      <c r="AB43" s="36">
        <f>SUM(B43:Y43)</f>
        <v>120000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36000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36000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36000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36000</v>
      </c>
      <c r="Z48" s="46">
        <f>SUMIF($B$13:$Y$13,"Yes",B48:Y48)</f>
        <v>72000</v>
      </c>
      <c r="AA48" s="46">
        <f>SUM(B48:M48)</f>
        <v>72000</v>
      </c>
      <c r="AB48" s="46">
        <f>SUM(B48:Y48)</f>
        <v>144000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36000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36000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36000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36000</v>
      </c>
      <c r="Z49" s="46">
        <f>SUMIF($B$13:$Y$13,"Yes",B49:Y49)</f>
        <v>72000</v>
      </c>
      <c r="AA49" s="46">
        <f>SUM(B49:M49)</f>
        <v>72000</v>
      </c>
      <c r="AB49" s="46">
        <f>SUM(B49:Y49)</f>
        <v>144000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14400</v>
      </c>
      <c r="C60" s="36">
        <f>O60</f>
        <v>14400</v>
      </c>
      <c r="D60" s="36">
        <f>P60</f>
        <v>0</v>
      </c>
      <c r="E60" s="36">
        <f>Q60</f>
        <v>14400</v>
      </c>
      <c r="F60" s="36">
        <f>R60</f>
        <v>14400</v>
      </c>
      <c r="G60" s="36">
        <f>S60</f>
        <v>14400</v>
      </c>
      <c r="H60" s="36">
        <f>T60</f>
        <v>14400</v>
      </c>
      <c r="I60" s="36">
        <f>U60</f>
        <v>14400</v>
      </c>
      <c r="J60" s="36">
        <f>V60</f>
        <v>0</v>
      </c>
      <c r="K60" s="36">
        <f>W60</f>
        <v>14400</v>
      </c>
      <c r="L60" s="36">
        <f>X60</f>
        <v>14400</v>
      </c>
      <c r="M60" s="36">
        <f>Y60</f>
        <v>14400</v>
      </c>
      <c r="N60" s="46">
        <f>SUM(N61:N65)</f>
        <v>14400</v>
      </c>
      <c r="O60" s="46">
        <f>SUM(O61:O65)</f>
        <v>14400</v>
      </c>
      <c r="P60" s="46">
        <f>SUM(P61:P65)</f>
        <v>0</v>
      </c>
      <c r="Q60" s="46">
        <f>SUM(Q61:Q65)</f>
        <v>14400</v>
      </c>
      <c r="R60" s="46">
        <f>SUM(R61:R65)</f>
        <v>14400</v>
      </c>
      <c r="S60" s="46">
        <f>SUM(S61:S65)</f>
        <v>14400</v>
      </c>
      <c r="T60" s="46">
        <f>SUM(T61:T65)</f>
        <v>14400</v>
      </c>
      <c r="U60" s="46">
        <f>SUM(U61:U65)</f>
        <v>14400</v>
      </c>
      <c r="V60" s="46">
        <f>SUM(V61:V65)</f>
        <v>0</v>
      </c>
      <c r="W60" s="46">
        <f>SUM(W61:W65)</f>
        <v>14400</v>
      </c>
      <c r="X60" s="46">
        <f>SUM(X61:X65)</f>
        <v>14400</v>
      </c>
      <c r="Y60" s="46">
        <f>SUM(Y61:Y65)</f>
        <v>14400</v>
      </c>
      <c r="Z60" s="46">
        <f>SUMIF($B$13:$Y$13,"Yes",B60:Y60)</f>
        <v>158400</v>
      </c>
      <c r="AA60" s="46">
        <f>SUM(B60:M60)</f>
        <v>144000</v>
      </c>
      <c r="AB60" s="46">
        <f>SUM(B60:Y60)</f>
        <v>288000</v>
      </c>
    </row>
    <row r="61" spans="1:30" hidden="true" outlineLevel="1">
      <c r="A61" s="181" t="str">
        <f>Calculations!$A$4</f>
        <v>Beans</v>
      </c>
      <c r="B61" s="36">
        <f>N61</f>
        <v>14400</v>
      </c>
      <c r="C61" s="36">
        <f>O61</f>
        <v>14400</v>
      </c>
      <c r="D61" s="36">
        <f>P61</f>
        <v>0</v>
      </c>
      <c r="E61" s="36">
        <f>Q61</f>
        <v>14400</v>
      </c>
      <c r="F61" s="36">
        <f>R61</f>
        <v>14400</v>
      </c>
      <c r="G61" s="36">
        <f>S61</f>
        <v>14400</v>
      </c>
      <c r="H61" s="36">
        <f>T61</f>
        <v>14400</v>
      </c>
      <c r="I61" s="36">
        <f>U61</f>
        <v>14400</v>
      </c>
      <c r="J61" s="36">
        <f>V61</f>
        <v>0</v>
      </c>
      <c r="K61" s="36">
        <f>W61</f>
        <v>14400</v>
      </c>
      <c r="L61" s="36">
        <f>X61</f>
        <v>14400</v>
      </c>
      <c r="M61" s="36">
        <f>Y61</f>
        <v>14400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14400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14400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14400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14400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14400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14400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14400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14400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14400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14400</v>
      </c>
      <c r="Z61" s="46">
        <f>SUMIF($B$13:$Y$13,"Yes",B61:Y61)</f>
        <v>158400</v>
      </c>
      <c r="AA61" s="46">
        <f>SUM(B61:M61)</f>
        <v>144000</v>
      </c>
      <c r="AB61" s="46">
        <f>SUM(B61:Y61)</f>
        <v>288000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43320</v>
      </c>
      <c r="C66" s="36">
        <f>O66</f>
        <v>43320</v>
      </c>
      <c r="D66" s="36">
        <f>P66</f>
        <v>0</v>
      </c>
      <c r="E66" s="36">
        <f>Q66</f>
        <v>43320</v>
      </c>
      <c r="F66" s="36">
        <f>R66</f>
        <v>43320</v>
      </c>
      <c r="G66" s="36">
        <f>S66</f>
        <v>43320</v>
      </c>
      <c r="H66" s="36">
        <f>T66</f>
        <v>43320</v>
      </c>
      <c r="I66" s="36">
        <f>U66</f>
        <v>43320</v>
      </c>
      <c r="J66" s="36">
        <f>V66</f>
        <v>0</v>
      </c>
      <c r="K66" s="36">
        <f>W66</f>
        <v>43320</v>
      </c>
      <c r="L66" s="36">
        <f>X66</f>
        <v>43320</v>
      </c>
      <c r="M66" s="36">
        <f>Y66</f>
        <v>43320</v>
      </c>
      <c r="N66" s="46">
        <f>SUM(N67:N71)</f>
        <v>43320</v>
      </c>
      <c r="O66" s="46">
        <f>SUM(O67:O71)</f>
        <v>43320</v>
      </c>
      <c r="P66" s="46">
        <f>SUM(P67:P71)</f>
        <v>0</v>
      </c>
      <c r="Q66" s="46">
        <f>SUM(Q67:Q71)</f>
        <v>43320</v>
      </c>
      <c r="R66" s="46">
        <f>SUM(R67:R71)</f>
        <v>43320</v>
      </c>
      <c r="S66" s="46">
        <f>SUM(S67:S71)</f>
        <v>43320</v>
      </c>
      <c r="T66" s="46">
        <f>SUM(T67:T71)</f>
        <v>43320</v>
      </c>
      <c r="U66" s="46">
        <f>SUM(U67:U71)</f>
        <v>43320</v>
      </c>
      <c r="V66" s="46">
        <f>SUM(V67:V71)</f>
        <v>0</v>
      </c>
      <c r="W66" s="46">
        <f>SUM(W67:W71)</f>
        <v>43320</v>
      </c>
      <c r="X66" s="46">
        <f>SUM(X67:X71)</f>
        <v>43320</v>
      </c>
      <c r="Y66" s="46">
        <f>SUM(Y67:Y71)</f>
        <v>43320</v>
      </c>
      <c r="Z66" s="46">
        <f>SUMIF($B$13:$Y$13,"Yes",B66:Y66)</f>
        <v>476520</v>
      </c>
      <c r="AA66" s="46">
        <f>SUM(B66:M66)</f>
        <v>433200</v>
      </c>
      <c r="AB66" s="46">
        <f>SUM(B66:Y66)</f>
        <v>866400</v>
      </c>
    </row>
    <row r="67" spans="1:30" hidden="true" outlineLevel="1">
      <c r="A67" s="181" t="str">
        <f>Calculations!$A$4</f>
        <v>Beans</v>
      </c>
      <c r="B67" s="36">
        <f>N67</f>
        <v>43320</v>
      </c>
      <c r="C67" s="36">
        <f>O67</f>
        <v>43320</v>
      </c>
      <c r="D67" s="36">
        <f>P67</f>
        <v>0</v>
      </c>
      <c r="E67" s="36">
        <f>Q67</f>
        <v>43320</v>
      </c>
      <c r="F67" s="36">
        <f>R67</f>
        <v>43320</v>
      </c>
      <c r="G67" s="36">
        <f>S67</f>
        <v>43320</v>
      </c>
      <c r="H67" s="36">
        <f>T67</f>
        <v>43320</v>
      </c>
      <c r="I67" s="36">
        <f>U67</f>
        <v>43320</v>
      </c>
      <c r="J67" s="36">
        <f>V67</f>
        <v>0</v>
      </c>
      <c r="K67" s="36">
        <f>W67</f>
        <v>43320</v>
      </c>
      <c r="L67" s="36">
        <f>X67</f>
        <v>43320</v>
      </c>
      <c r="M67" s="36">
        <f>Y67</f>
        <v>43320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43320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43320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43320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43320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43320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43320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43320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43320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43320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43320</v>
      </c>
      <c r="Z67" s="46">
        <f>SUMIF($B$13:$Y$13,"Yes",B67:Y67)</f>
        <v>476520</v>
      </c>
      <c r="AA67" s="46">
        <f>SUM(B67:M67)</f>
        <v>433200</v>
      </c>
      <c r="AB67" s="46">
        <f>SUM(B67:Y67)</f>
        <v>866400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7604.166666666667</v>
      </c>
      <c r="C74" s="46">
        <f>SUM(Calculations!$Q$14:$Q$16)/12</f>
        <v>7604.166666666667</v>
      </c>
      <c r="D74" s="46">
        <f>SUM(Calculations!$Q$14:$Q$16)/12</f>
        <v>7604.166666666667</v>
      </c>
      <c r="E74" s="46">
        <f>SUM(Calculations!$Q$14:$Q$16)/12</f>
        <v>7604.166666666667</v>
      </c>
      <c r="F74" s="46">
        <f>SUM(Calculations!$Q$14:$Q$16)/12</f>
        <v>7604.166666666667</v>
      </c>
      <c r="G74" s="46">
        <f>SUM(Calculations!$Q$14:$Q$16)/12</f>
        <v>7604.166666666667</v>
      </c>
      <c r="H74" s="46">
        <f>SUM(Calculations!$Q$14:$Q$16)/12</f>
        <v>7604.166666666667</v>
      </c>
      <c r="I74" s="46">
        <f>SUM(Calculations!$Q$14:$Q$16)/12</f>
        <v>7604.166666666667</v>
      </c>
      <c r="J74" s="46">
        <f>SUM(Calculations!$Q$14:$Q$16)/12</f>
        <v>7604.166666666667</v>
      </c>
      <c r="K74" s="46">
        <f>SUM(Calculations!$Q$14:$Q$16)/12</f>
        <v>7604.166666666667</v>
      </c>
      <c r="L74" s="46">
        <f>SUM(Calculations!$Q$14:$Q$16)/12</f>
        <v>7604.166666666667</v>
      </c>
      <c r="M74" s="46">
        <f>SUM(Calculations!$Q$14:$Q$16)/12</f>
        <v>7604.166666666667</v>
      </c>
      <c r="N74" s="46">
        <f>SUM(Calculations!$Q$14:$Q$16)/12</f>
        <v>7604.166666666667</v>
      </c>
      <c r="O74" s="46">
        <f>SUM(Calculations!$Q$14:$Q$16)/12</f>
        <v>7604.166666666667</v>
      </c>
      <c r="P74" s="46">
        <f>SUM(Calculations!$Q$14:$Q$16)/12</f>
        <v>7604.166666666667</v>
      </c>
      <c r="Q74" s="46">
        <f>SUM(Calculations!$Q$14:$Q$16)/12</f>
        <v>7604.166666666667</v>
      </c>
      <c r="R74" s="46">
        <f>SUM(Calculations!$Q$14:$Q$16)/12</f>
        <v>7604.166666666667</v>
      </c>
      <c r="S74" s="46">
        <f>SUM(Calculations!$Q$14:$Q$16)/12</f>
        <v>7604.166666666667</v>
      </c>
      <c r="T74" s="46">
        <f>SUM(Calculations!$Q$14:$Q$16)/12</f>
        <v>7604.166666666667</v>
      </c>
      <c r="U74" s="46">
        <f>SUM(Calculations!$Q$14:$Q$16)/12</f>
        <v>7604.166666666667</v>
      </c>
      <c r="V74" s="46">
        <f>SUM(Calculations!$Q$14:$Q$16)/12</f>
        <v>7604.166666666667</v>
      </c>
      <c r="W74" s="46">
        <f>SUM(Calculations!$Q$14:$Q$16)/12</f>
        <v>7604.166666666667</v>
      </c>
      <c r="X74" s="46">
        <f>SUM(Calculations!$Q$14:$Q$16)/12</f>
        <v>7604.166666666667</v>
      </c>
      <c r="Y74" s="46">
        <f>SUM(Calculations!$Q$14:$Q$16)/12</f>
        <v>7604.166666666667</v>
      </c>
      <c r="Z74" s="46">
        <f>SUMIF($B$13:$Y$13,"Yes",B74:Y74)</f>
        <v>98854.16666666669</v>
      </c>
      <c r="AA74" s="46">
        <f>SUM(B74:M74)</f>
        <v>91250.00000000001</v>
      </c>
      <c r="AB74" s="46">
        <f>SUM(B74:Y74)</f>
        <v>182500</v>
      </c>
    </row>
    <row r="75" spans="1:30">
      <c r="A75" s="16" t="s">
        <v>47</v>
      </c>
      <c r="B75" s="46">
        <f>SUM(Calculations!$R$14:$R$16)/12</f>
        <v>416.6666666666667</v>
      </c>
      <c r="C75" s="46">
        <f>SUM(Calculations!$R$14:$R$16)/12</f>
        <v>416.6666666666667</v>
      </c>
      <c r="D75" s="46">
        <f>SUM(Calculations!$R$14:$R$16)/12</f>
        <v>416.6666666666667</v>
      </c>
      <c r="E75" s="46">
        <f>SUM(Calculations!$R$14:$R$16)/12</f>
        <v>416.6666666666667</v>
      </c>
      <c r="F75" s="46">
        <f>SUM(Calculations!$R$14:$R$16)/12</f>
        <v>416.6666666666667</v>
      </c>
      <c r="G75" s="46">
        <f>SUM(Calculations!$R$14:$R$16)/12</f>
        <v>416.6666666666667</v>
      </c>
      <c r="H75" s="46">
        <f>SUM(Calculations!$R$14:$R$16)/12</f>
        <v>416.6666666666667</v>
      </c>
      <c r="I75" s="46">
        <f>SUM(Calculations!$R$14:$R$16)/12</f>
        <v>416.6666666666667</v>
      </c>
      <c r="J75" s="46">
        <f>SUM(Calculations!$R$14:$R$16)/12</f>
        <v>416.6666666666667</v>
      </c>
      <c r="K75" s="46">
        <f>SUM(Calculations!$R$14:$R$16)/12</f>
        <v>416.6666666666667</v>
      </c>
      <c r="L75" s="46">
        <f>SUM(Calculations!$R$14:$R$16)/12</f>
        <v>416.6666666666667</v>
      </c>
      <c r="M75" s="46">
        <f>SUM(Calculations!$R$14:$R$16)/12</f>
        <v>416.6666666666667</v>
      </c>
      <c r="N75" s="46">
        <f>SUM(Calculations!$R$14:$R$16)/12</f>
        <v>416.6666666666667</v>
      </c>
      <c r="O75" s="46">
        <f>SUM(Calculations!$R$14:$R$16)/12</f>
        <v>416.6666666666667</v>
      </c>
      <c r="P75" s="46">
        <f>SUM(Calculations!$R$14:$R$16)/12</f>
        <v>416.6666666666667</v>
      </c>
      <c r="Q75" s="46">
        <f>SUM(Calculations!$R$14:$R$16)/12</f>
        <v>416.6666666666667</v>
      </c>
      <c r="R75" s="46">
        <f>SUM(Calculations!$R$14:$R$16)/12</f>
        <v>416.6666666666667</v>
      </c>
      <c r="S75" s="46">
        <f>SUM(Calculations!$R$14:$R$16)/12</f>
        <v>416.6666666666667</v>
      </c>
      <c r="T75" s="46">
        <f>SUM(Calculations!$R$14:$R$16)/12</f>
        <v>416.6666666666667</v>
      </c>
      <c r="U75" s="46">
        <f>SUM(Calculations!$R$14:$R$16)/12</f>
        <v>416.6666666666667</v>
      </c>
      <c r="V75" s="46">
        <f>SUM(Calculations!$R$14:$R$16)/12</f>
        <v>416.6666666666667</v>
      </c>
      <c r="W75" s="46">
        <f>SUM(Calculations!$R$14:$R$16)/12</f>
        <v>416.6666666666667</v>
      </c>
      <c r="X75" s="46">
        <f>SUM(Calculations!$R$14:$R$16)/12</f>
        <v>416.6666666666667</v>
      </c>
      <c r="Y75" s="46">
        <f>SUM(Calculations!$R$14:$R$16)/12</f>
        <v>416.6666666666667</v>
      </c>
      <c r="Z75" s="46">
        <f>SUMIF($B$13:$Y$13,"Yes",B75:Y75)</f>
        <v>5416.666666666667</v>
      </c>
      <c r="AA75" s="46">
        <f>SUM(B75:M75)</f>
        <v>5000</v>
      </c>
      <c r="AB75" s="46">
        <f>SUM(B75:Y75)</f>
        <v>10000</v>
      </c>
    </row>
    <row r="76" spans="1:30">
      <c r="A76" s="16" t="s">
        <v>48</v>
      </c>
      <c r="B76" s="46">
        <f>SUM(Calculations!$S$14:$S$16)/12</f>
        <v>2500</v>
      </c>
      <c r="C76" s="46">
        <f>SUM(Calculations!$S$14:$S$16)/12</f>
        <v>2500</v>
      </c>
      <c r="D76" s="46">
        <f>SUM(Calculations!$S$14:$S$16)/12</f>
        <v>2500</v>
      </c>
      <c r="E76" s="46">
        <f>SUM(Calculations!$S$14:$S$16)/12</f>
        <v>2500</v>
      </c>
      <c r="F76" s="46">
        <f>SUM(Calculations!$S$14:$S$16)/12</f>
        <v>2500</v>
      </c>
      <c r="G76" s="46">
        <f>SUM(Calculations!$S$14:$S$16)/12</f>
        <v>2500</v>
      </c>
      <c r="H76" s="46">
        <f>SUM(Calculations!$S$14:$S$16)/12</f>
        <v>2500</v>
      </c>
      <c r="I76" s="46">
        <f>SUM(Calculations!$S$14:$S$16)/12</f>
        <v>2500</v>
      </c>
      <c r="J76" s="46">
        <f>SUM(Calculations!$S$14:$S$16)/12</f>
        <v>2500</v>
      </c>
      <c r="K76" s="46">
        <f>SUM(Calculations!$S$14:$S$16)/12</f>
        <v>2500</v>
      </c>
      <c r="L76" s="46">
        <f>SUM(Calculations!$S$14:$S$16)/12</f>
        <v>2500</v>
      </c>
      <c r="M76" s="46">
        <f>SUM(Calculations!$S$14:$S$16)/12</f>
        <v>2500</v>
      </c>
      <c r="N76" s="46">
        <f>SUM(Calculations!$S$14:$S$16)/12</f>
        <v>2500</v>
      </c>
      <c r="O76" s="46">
        <f>SUM(Calculations!$S$14:$S$16)/12</f>
        <v>2500</v>
      </c>
      <c r="P76" s="46">
        <f>SUM(Calculations!$S$14:$S$16)/12</f>
        <v>2500</v>
      </c>
      <c r="Q76" s="46">
        <f>SUM(Calculations!$S$14:$S$16)/12</f>
        <v>2500</v>
      </c>
      <c r="R76" s="46">
        <f>SUM(Calculations!$S$14:$S$16)/12</f>
        <v>2500</v>
      </c>
      <c r="S76" s="46">
        <f>SUM(Calculations!$S$14:$S$16)/12</f>
        <v>2500</v>
      </c>
      <c r="T76" s="46">
        <f>SUM(Calculations!$S$14:$S$16)/12</f>
        <v>2500</v>
      </c>
      <c r="U76" s="46">
        <f>SUM(Calculations!$S$14:$S$16)/12</f>
        <v>2500</v>
      </c>
      <c r="V76" s="46">
        <f>SUM(Calculations!$S$14:$S$16)/12</f>
        <v>2500</v>
      </c>
      <c r="W76" s="46">
        <f>SUM(Calculations!$S$14:$S$16)/12</f>
        <v>2500</v>
      </c>
      <c r="X76" s="46">
        <f>SUM(Calculations!$S$14:$S$16)/12</f>
        <v>2500</v>
      </c>
      <c r="Y76" s="46">
        <f>SUM(Calculations!$S$14:$S$16)/12</f>
        <v>2500</v>
      </c>
      <c r="Z76" s="46">
        <f>SUMIF($B$13:$Y$13,"Yes",B76:Y76)</f>
        <v>32500</v>
      </c>
      <c r="AA76" s="46">
        <f>SUM(B76:M76)</f>
        <v>30000</v>
      </c>
      <c r="AB76" s="46">
        <f>SUM(B76:Y76)</f>
        <v>60000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-27848.33333333333</v>
      </c>
      <c r="C81" s="46">
        <f>(SUM($AA$18:$AA$29)-SUM($AA$36,$AA$42,$AA$48,$AA$54,$AA$60,$AA$66,$AA$72:$AA$79))*Parameters!$B$37/12</f>
        <v>-27848.33333333333</v>
      </c>
      <c r="D81" s="46">
        <f>(SUM($AA$18:$AA$29)-SUM($AA$36,$AA$42,$AA$48,$AA$54,$AA$60,$AA$66,$AA$72:$AA$79))*Parameters!$B$37/12</f>
        <v>-27848.33333333333</v>
      </c>
      <c r="E81" s="46">
        <f>(SUM($AA$18:$AA$29)-SUM($AA$36,$AA$42,$AA$48,$AA$54,$AA$60,$AA$66,$AA$72:$AA$79))*Parameters!$B$37/12</f>
        <v>-27848.33333333333</v>
      </c>
      <c r="F81" s="46">
        <f>(SUM($AA$18:$AA$29)-SUM($AA$36,$AA$42,$AA$48,$AA$54,$AA$60,$AA$66,$AA$72:$AA$79))*Parameters!$B$37/12</f>
        <v>-27848.33333333333</v>
      </c>
      <c r="G81" s="46">
        <f>(SUM($AA$18:$AA$29)-SUM($AA$36,$AA$42,$AA$48,$AA$54,$AA$60,$AA$66,$AA$72:$AA$79))*Parameters!$B$37/12</f>
        <v>-27848.33333333333</v>
      </c>
      <c r="H81" s="46">
        <f>(SUM($AA$18:$AA$29)-SUM($AA$36,$AA$42,$AA$48,$AA$54,$AA$60,$AA$66,$AA$72:$AA$79))*Parameters!$B$37/12</f>
        <v>-27848.33333333333</v>
      </c>
      <c r="I81" s="46">
        <f>(SUM($AA$18:$AA$29)-SUM($AA$36,$AA$42,$AA$48,$AA$54,$AA$60,$AA$66,$AA$72:$AA$79))*Parameters!$B$37/12</f>
        <v>-27848.33333333333</v>
      </c>
      <c r="J81" s="46">
        <f>(SUM($AA$18:$AA$29)-SUM($AA$36,$AA$42,$AA$48,$AA$54,$AA$60,$AA$66,$AA$72:$AA$79))*Parameters!$B$37/12</f>
        <v>-27848.33333333333</v>
      </c>
      <c r="K81" s="46">
        <f>(SUM($AA$18:$AA$29)-SUM($AA$36,$AA$42,$AA$48,$AA$54,$AA$60,$AA$66,$AA$72:$AA$79))*Parameters!$B$37/12</f>
        <v>-27848.33333333333</v>
      </c>
      <c r="L81" s="46">
        <f>(SUM($AA$18:$AA$29)-SUM($AA$36,$AA$42,$AA$48,$AA$54,$AA$60,$AA$66,$AA$72:$AA$79))*Parameters!$B$37/12</f>
        <v>-27848.33333333333</v>
      </c>
      <c r="M81" s="46">
        <f>(SUM($AA$18:$AA$29)-SUM($AA$36,$AA$42,$AA$48,$AA$54,$AA$60,$AA$66,$AA$72:$AA$79))*Parameters!$B$37/12</f>
        <v>-27848.33333333333</v>
      </c>
      <c r="N81" s="46">
        <f>(SUM($AA$18:$AA$29)-SUM($AA$36,$AA$42,$AA$48,$AA$54,$AA$60,$AA$66,$AA$72:$AA$79))*Parameters!$B$37/12</f>
        <v>-27848.33333333333</v>
      </c>
      <c r="O81" s="46">
        <f>(SUM($AA$18:$AA$29)-SUM($AA$36,$AA$42,$AA$48,$AA$54,$AA$60,$AA$66,$AA$72:$AA$79))*Parameters!$B$37/12</f>
        <v>-27848.33333333333</v>
      </c>
      <c r="P81" s="46">
        <f>(SUM($AA$18:$AA$29)-SUM($AA$36,$AA$42,$AA$48,$AA$54,$AA$60,$AA$66,$AA$72:$AA$79))*Parameters!$B$37/12</f>
        <v>-27848.33333333333</v>
      </c>
      <c r="Q81" s="46">
        <f>(SUM($AA$18:$AA$29)-SUM($AA$36,$AA$42,$AA$48,$AA$54,$AA$60,$AA$66,$AA$72:$AA$79))*Parameters!$B$37/12</f>
        <v>-27848.33333333333</v>
      </c>
      <c r="R81" s="46">
        <f>(SUM($AA$18:$AA$29)-SUM($AA$36,$AA$42,$AA$48,$AA$54,$AA$60,$AA$66,$AA$72:$AA$79))*Parameters!$B$37/12</f>
        <v>-27848.33333333333</v>
      </c>
      <c r="S81" s="46">
        <f>(SUM($AA$18:$AA$29)-SUM($AA$36,$AA$42,$AA$48,$AA$54,$AA$60,$AA$66,$AA$72:$AA$79))*Parameters!$B$37/12</f>
        <v>-27848.33333333333</v>
      </c>
      <c r="T81" s="46">
        <f>(SUM($AA$18:$AA$29)-SUM($AA$36,$AA$42,$AA$48,$AA$54,$AA$60,$AA$66,$AA$72:$AA$79))*Parameters!$B$37/12</f>
        <v>-27848.33333333333</v>
      </c>
      <c r="U81" s="46">
        <f>(SUM($AA$18:$AA$29)-SUM($AA$36,$AA$42,$AA$48,$AA$54,$AA$60,$AA$66,$AA$72:$AA$79))*Parameters!$B$37/12</f>
        <v>-27848.33333333333</v>
      </c>
      <c r="V81" s="46">
        <f>(SUM($AA$18:$AA$29)-SUM($AA$36,$AA$42,$AA$48,$AA$54,$AA$60,$AA$66,$AA$72:$AA$79))*Parameters!$B$37/12</f>
        <v>-27848.33333333333</v>
      </c>
      <c r="W81" s="46">
        <f>(SUM($AA$18:$AA$29)-SUM($AA$36,$AA$42,$AA$48,$AA$54,$AA$60,$AA$66,$AA$72:$AA$79))*Parameters!$B$37/12</f>
        <v>-27848.33333333333</v>
      </c>
      <c r="X81" s="46">
        <f>(SUM($AA$18:$AA$29)-SUM($AA$36,$AA$42,$AA$48,$AA$54,$AA$60,$AA$66,$AA$72:$AA$79))*Parameters!$B$37/12</f>
        <v>-27848.33333333333</v>
      </c>
      <c r="Y81" s="46">
        <f>(SUM($AA$18:$AA$29)-SUM($AA$36,$AA$42,$AA$48,$AA$54,$AA$60,$AA$66,$AA$72:$AA$79))*Parameters!$B$37/12</f>
        <v>-27848.33333333333</v>
      </c>
      <c r="Z81" s="46">
        <f>SUMIF($B$13:$Y$13,"Yes",B81:Y81)</f>
        <v>-362028.3333333333</v>
      </c>
      <c r="AA81" s="46">
        <f>SUM(B81:M81)</f>
        <v>-334180</v>
      </c>
      <c r="AB81" s="46">
        <f>SUM(B81:Y81)</f>
        <v>-668360.0000000001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40392.5</v>
      </c>
      <c r="C88" s="19">
        <f>SUM(C72:C82,C66,C60,C54,C48,C42,C36)</f>
        <v>40392.5</v>
      </c>
      <c r="D88" s="19">
        <f>SUM(D72:D82,D66,D60,D54,D48,D42,D36)</f>
        <v>-17327.5</v>
      </c>
      <c r="E88" s="19">
        <f>SUM(E72:E82,E66,E60,E54,E48,E42,E36)</f>
        <v>70392.5</v>
      </c>
      <c r="F88" s="19">
        <f>SUM(F72:F82,F66,F60,F54,F48,F42,F36)</f>
        <v>40392.5</v>
      </c>
      <c r="G88" s="19">
        <f>SUM(G72:G82,G66,G60,G54,G48,G42,G36)</f>
        <v>76392.5</v>
      </c>
      <c r="H88" s="19">
        <f>SUM(H72:H82,H66,H60,H54,H48,H42,H36)</f>
        <v>40392.5</v>
      </c>
      <c r="I88" s="19">
        <f>SUM(I72:I82,I66,I60,I54,I48,I42,I36)</f>
        <v>40392.5</v>
      </c>
      <c r="J88" s="19">
        <f>SUM(J72:J82,J66,J60,J54,J48,J42,J36)</f>
        <v>-17327.5</v>
      </c>
      <c r="K88" s="19">
        <f>SUM(K72:K82,K66,K60,K54,K48,K42,K36)</f>
        <v>70392.5</v>
      </c>
      <c r="L88" s="19">
        <f>SUM(L72:L82,L66,L60,L54,L48,L42,L36)</f>
        <v>40392.5</v>
      </c>
      <c r="M88" s="19">
        <f>SUM(M72:M82,M66,M60,M54,M48,M42,M36)</f>
        <v>76392.5</v>
      </c>
      <c r="N88" s="19">
        <f>SUM(N72:N82,N66,N60,N54,N48,N42,N36)</f>
        <v>40392.5</v>
      </c>
      <c r="O88" s="19">
        <f>SUM(O72:O82,O66,O60,O54,O48,O42,O36)</f>
        <v>40392.5</v>
      </c>
      <c r="P88" s="19">
        <f>SUM(P72:P82,P66,P60,P54,P48,P42,P36)</f>
        <v>-17327.5</v>
      </c>
      <c r="Q88" s="19">
        <f>SUM(Q72:Q82,Q66,Q60,Q54,Q48,Q42,Q36)</f>
        <v>70392.5</v>
      </c>
      <c r="R88" s="19">
        <f>SUM(R72:R82,R66,R60,R54,R48,R42,R36)</f>
        <v>40392.5</v>
      </c>
      <c r="S88" s="19">
        <f>SUM(S72:S82,S66,S60,S54,S48,S42,S36)</f>
        <v>76392.5</v>
      </c>
      <c r="T88" s="19">
        <f>SUM(T72:T82,T66,T60,T54,T48,T42,T36)</f>
        <v>40392.5</v>
      </c>
      <c r="U88" s="19">
        <f>SUM(U72:U82,U66,U60,U54,U48,U42,U36)</f>
        <v>40392.5</v>
      </c>
      <c r="V88" s="19">
        <f>SUM(V72:V82,V66,V60,V54,V48,V42,V36)</f>
        <v>-17327.5</v>
      </c>
      <c r="W88" s="19">
        <f>SUM(W72:W82,W66,W60,W54,W48,W42,W36)</f>
        <v>70392.5</v>
      </c>
      <c r="X88" s="19">
        <f>SUM(X72:X82,X66,X60,X54,X48,X42,X36)</f>
        <v>40392.5</v>
      </c>
      <c r="Y88" s="19">
        <f>SUM(Y72:Y82,Y66,Y60,Y54,Y48,Y42,Y36)</f>
        <v>76392.5</v>
      </c>
      <c r="Z88" s="19">
        <f>SUMIF($B$13:$Y$13,"Yes",B88:Y88)</f>
        <v>541662.5</v>
      </c>
      <c r="AA88" s="19">
        <f>SUM(B88:M88)</f>
        <v>501270</v>
      </c>
      <c r="AB88" s="19">
        <f>SUM(B88:Y88)</f>
        <v>1002540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70000</v>
      </c>
    </row>
    <row r="95" spans="1:30">
      <c r="A95" t="s">
        <v>61</v>
      </c>
      <c r="B95" s="36">
        <f>Inputs!B47</f>
        <v>50000</v>
      </c>
    </row>
    <row r="96" spans="1:30">
      <c r="A96" t="s">
        <v>62</v>
      </c>
      <c r="B96" s="36">
        <f>SUMPRODUCT(Inputs!C19:C21,Calculations!O14:O16)</f>
        <v>250000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3420000</v>
      </c>
    </row>
    <row r="98" spans="1:30">
      <c r="A98" t="s">
        <v>64</v>
      </c>
      <c r="B98" s="36">
        <f>IF(Inputs!B44="Yes",Inputs!B45,0)</f>
        <v>1000000</v>
      </c>
    </row>
    <row r="99" spans="1:30">
      <c r="A99" t="s">
        <v>65</v>
      </c>
      <c r="B99" s="36">
        <f>Inputs!B46</f>
        <v>260000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7050000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5</v>
      </c>
      <c r="D19" s="145">
        <v>4</v>
      </c>
      <c r="E19" s="20"/>
      <c r="F19" s="145" t="s">
        <v>109</v>
      </c>
      <c r="G19" s="20"/>
      <c r="H19" s="20"/>
      <c r="I19" s="145" t="s">
        <v>110</v>
      </c>
      <c r="J19" s="145">
        <v>100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5</v>
      </c>
    </row>
    <row r="27" spans="1:48">
      <c r="A27" s="14" t="s">
        <v>113</v>
      </c>
    </row>
    <row r="29" spans="1:48">
      <c r="A29" s="45" t="s">
        <v>114</v>
      </c>
      <c r="B29" s="156"/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1000000</v>
      </c>
    </row>
    <row r="46" spans="1:48" customHeight="1" ht="30">
      <c r="A46" s="57" t="s">
        <v>130</v>
      </c>
      <c r="B46" s="161">
        <v>260000</v>
      </c>
    </row>
    <row r="47" spans="1:48" customHeight="1" ht="30">
      <c r="A47" s="57" t="s">
        <v>131</v>
      </c>
      <c r="B47" s="161">
        <v>50000</v>
      </c>
    </row>
    <row r="48" spans="1:48" customHeight="1" ht="30">
      <c r="A48" s="57" t="s">
        <v>132</v>
      </c>
      <c r="B48" s="161">
        <v>2000000</v>
      </c>
    </row>
    <row r="49" spans="1:48" customHeight="1" ht="30">
      <c r="A49" s="57" t="s">
        <v>133</v>
      </c>
      <c r="B49" s="161">
        <v>70000</v>
      </c>
    </row>
    <row r="50" spans="1:48">
      <c r="A50" s="43"/>
      <c r="B50" s="36"/>
    </row>
    <row r="51" spans="1:48">
      <c r="A51" s="58" t="s">
        <v>134</v>
      </c>
      <c r="B51" s="161">
        <v>20000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143</v>
      </c>
      <c r="C65" s="10" t="s">
        <v>144</v>
      </c>
    </row>
    <row r="66" spans="1:48">
      <c r="A66" s="142" t="s">
        <v>145</v>
      </c>
      <c r="B66" s="159">
        <v>135770</v>
      </c>
      <c r="C66" s="163">
        <v>143990</v>
      </c>
      <c r="D66" s="49">
        <f>INDEX(Parameters!$D$79:$D$90,MATCH(Inputs!A66,Parameters!$C$79:$C$90,0))</f>
        <v>5</v>
      </c>
    </row>
    <row r="67" spans="1:48">
      <c r="A67" s="143" t="s">
        <v>146</v>
      </c>
      <c r="B67" s="157">
        <v>358070</v>
      </c>
      <c r="C67" s="165">
        <v>312760</v>
      </c>
      <c r="D67" s="49">
        <f>INDEX(Parameters!$D$79:$D$90,MATCH(Inputs!A67,Parameters!$C$79:$C$90,0))</f>
        <v>6</v>
      </c>
    </row>
    <row r="68" spans="1:48">
      <c r="A68" s="143" t="s">
        <v>147</v>
      </c>
      <c r="B68" s="157">
        <v>113640</v>
      </c>
      <c r="C68" s="165">
        <v>86560</v>
      </c>
      <c r="D68" s="49">
        <f>INDEX(Parameters!$D$79:$D$90,MATCH(Inputs!A68,Parameters!$C$79:$C$90,0))</f>
        <v>7</v>
      </c>
    </row>
    <row r="69" spans="1:48">
      <c r="A69" s="143" t="s">
        <v>148</v>
      </c>
      <c r="B69" s="157">
        <v>201760</v>
      </c>
      <c r="C69" s="165">
        <v>194344</v>
      </c>
      <c r="D69" s="49">
        <f>INDEX(Parameters!$D$79:$D$90,MATCH(Inputs!A69,Parameters!$C$79:$C$90,0))</f>
        <v>8</v>
      </c>
    </row>
    <row r="70" spans="1:48">
      <c r="A70" s="143" t="s">
        <v>149</v>
      </c>
      <c r="B70" s="157">
        <v>123442</v>
      </c>
      <c r="C70" s="165">
        <v>98800</v>
      </c>
      <c r="D70" s="49">
        <f>INDEX(Parameters!$D$79:$D$90,MATCH(Inputs!A70,Parameters!$C$79:$C$90,0))</f>
        <v>9</v>
      </c>
    </row>
    <row r="71" spans="1:48">
      <c r="A71" s="144" t="s">
        <v>150</v>
      </c>
      <c r="B71" s="158">
        <v>207600</v>
      </c>
      <c r="C71" s="167">
        <v>178900</v>
      </c>
      <c r="D71" s="49">
        <f>INDEX(Parameters!$D$79:$D$90,MATCH(Inputs!A71,Parameters!$C$79:$C$90,0))</f>
        <v>10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12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200000</v>
      </c>
    </row>
    <row r="82" spans="1:48">
      <c r="A82" t="s">
        <v>160</v>
      </c>
      <c r="B82" s="161">
        <v>20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12</v>
      </c>
    </row>
    <row r="86" spans="1:48">
      <c r="A86" t="s">
        <v>165</v>
      </c>
      <c r="B86" s="161"/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43191</v>
      </c>
      <c r="D4" s="38">
        <f>IFERROR(DATE(YEAR(B4),MONTH(B4)+T4,DAY(B4)),"")</f>
        <v>43252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43374</v>
      </c>
      <c r="G4" s="38">
        <f>IFERROR(IF($S4=0,"",IF($S4=2,DATE(YEAR(D4),MONTH(D4)+6,DAY(D4)),IF($S4=1,D4,""))),"")</f>
        <v>43435</v>
      </c>
      <c r="H4" s="20">
        <f>Inputs!C7</f>
        <v>12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596.9340685804706</v>
      </c>
      <c r="M4" s="25">
        <f>L4*H4</f>
        <v>7163.208822965647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36000</v>
      </c>
      <c r="Z4" s="33">
        <f>IF(Inputs!I7=Parameters!$F$78,H4*INDEX(Parameters!$A$3:$AI$18,MATCH(Calculations!A4,Parameters!$A$3:$A$18,0),MATCH(Parameters!$Q$3,Parameters!$A$3:$AI$3,0)),0)</f>
        <v>72000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228000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11</v>
      </c>
      <c r="AD5" s="22">
        <f>IF($A5=0,1/12,IFERROR(INDEX(Parameters!$X$2:$AI$17,MATCH(Calculations!$A5,Parameters!$A$2:$A$17,0),MONTH(Calculations!AD$3)),1/12))</f>
        <v>12</v>
      </c>
      <c r="AE5" s="22">
        <f>IF($A5=0,1/12,IFERROR(INDEX(Parameters!$X$2:$AI$17,MATCH(Calculations!$A5,Parameters!$A$2:$A$17,0),MONTH(Calculations!AE$3)),1/12))</f>
        <v>1</v>
      </c>
      <c r="AF5" s="22">
        <f>IF($A5=0,1/12,IFERROR(INDEX(Parameters!$X$2:$AI$17,MATCH(Calculations!$A5,Parameters!$A$2:$A$17,0),MONTH(Calculations!AF$3)),1/12))</f>
        <v>2</v>
      </c>
      <c r="AG5" s="22">
        <f>IF($A5=0,1/12,IFERROR(INDEX(Parameters!$X$2:$AI$17,MATCH(Calculations!$A5,Parameters!$A$2:$A$17,0),MONTH(Calculations!AG$3)),1/12))</f>
        <v>3</v>
      </c>
      <c r="AH5" s="22">
        <f>IF($A5=0,1/12,IFERROR(INDEX(Parameters!$X$2:$AI$17,MATCH(Calculations!$A5,Parameters!$A$2:$A$17,0),MONTH(Calculations!AH$3)),1/12))</f>
        <v>4</v>
      </c>
      <c r="AI5" s="22">
        <f>IF($A5=0,1/12,IFERROR(INDEX(Parameters!$X$2:$AI$17,MATCH(Calculations!$A5,Parameters!$A$2:$A$17,0),MONTH(Calculations!AI$3)),1/12))</f>
        <v>5</v>
      </c>
      <c r="AJ5" s="22">
        <f>IF($A5=0,1/12,IFERROR(INDEX(Parameters!$X$2:$AI$17,MATCH(Calculations!$A5,Parameters!$A$2:$A$17,0),MONTH(Calculations!AJ$3)),1/12))</f>
        <v>6</v>
      </c>
      <c r="AK5" s="22">
        <f>IF($A5=0,1/12,IFERROR(INDEX(Parameters!$X$2:$AI$17,MATCH(Calculations!$A5,Parameters!$A$2:$A$17,0),MONTH(Calculations!AK$3)),1/12))</f>
        <v>7</v>
      </c>
      <c r="AL5" s="22">
        <f>IF($A5=0,1/12,IFERROR(INDEX(Parameters!$X$2:$AI$17,MATCH(Calculations!$A5,Parameters!$A$2:$A$17,0),MONTH(Calculations!AL$3)),1/12))</f>
        <v>8</v>
      </c>
      <c r="AM5" s="22">
        <f>IF($A5=0,1/12,IFERROR(INDEX(Parameters!$X$2:$AI$17,MATCH(Calculations!$A5,Parameters!$A$2:$A$17,0),MONTH(Calculations!AM$3)),1/12))</f>
        <v>9</v>
      </c>
      <c r="AN5" s="22">
        <f>IF($A5=0,1/12,IFERROR(INDEX(Parameters!$X$2:$AI$17,MATCH(Calculations!$A5,Parameters!$A$2:$A$17,0),MONTH(Calculations!AN$3)),1/12))</f>
        <v>10</v>
      </c>
      <c r="AO5" s="22">
        <f>IF($A5=0,1/12,IFERROR(INDEX(Parameters!$X$2:$AI$17,MATCH(Calculations!$A5,Parameters!$A$2:$A$17,0),MONTH(Calculations!AO$3)),1/12))</f>
        <v>11</v>
      </c>
      <c r="AP5" s="22">
        <f>IF($A5=0,1/12,IFERROR(INDEX(Parameters!$X$2:$AI$17,MATCH(Calculations!$A5,Parameters!$A$2:$A$17,0),MONTH(Calculations!AP$3)),1/12))</f>
        <v>12</v>
      </c>
      <c r="AQ5" s="22">
        <f>IF($A5=0,1/12,IFERROR(INDEX(Parameters!$X$2:$AI$17,MATCH(Calculations!$A5,Parameters!$A$2:$A$17,0),MONTH(Calculations!AQ$3)),1/12))</f>
        <v>1</v>
      </c>
      <c r="AR5" s="22">
        <f>IF($A5=0,1/12,IFERROR(INDEX(Parameters!$X$2:$AI$17,MATCH(Calculations!$A5,Parameters!$A$2:$A$17,0),MONTH(Calculations!AR$3)),1/12))</f>
        <v>2</v>
      </c>
      <c r="AS5" s="22">
        <f>IF($A5=0,1/12,IFERROR(INDEX(Parameters!$X$2:$AI$17,MATCH(Calculations!$A5,Parameters!$A$2:$A$17,0),MONTH(Calculations!AS$3)),1/12))</f>
        <v>3</v>
      </c>
      <c r="AT5" s="22">
        <f>IF($A5=0,1/12,IFERROR(INDEX(Parameters!$X$2:$AI$17,MATCH(Calculations!$A5,Parameters!$A$2:$A$17,0),MONTH(Calculations!AT$3)),1/12))</f>
        <v>4</v>
      </c>
      <c r="AU5" s="22">
        <f>IF($A5=0,1/12,IFERROR(INDEX(Parameters!$X$2:$AI$17,MATCH(Calculations!$A5,Parameters!$A$2:$A$17,0),MONTH(Calculations!AU$3)),1/12))</f>
        <v>5</v>
      </c>
      <c r="AV5" s="22">
        <f>IF($A5=0,1/12,IFERROR(INDEX(Parameters!$X$2:$AI$17,MATCH(Calculations!$A5,Parameters!$A$2:$A$17,0),MONTH(Calculations!AV$3)),1/12))</f>
        <v>6</v>
      </c>
      <c r="AW5" s="22">
        <f>IF($A5=0,1/12,IFERROR(INDEX(Parameters!$X$2:$AI$17,MATCH(Calculations!$A5,Parameters!$A$2:$A$17,0),MONTH(Calculations!AW$3)),1/12))</f>
        <v>7</v>
      </c>
      <c r="AX5" s="22">
        <f>IF($A5=0,1/12,IFERROR(INDEX(Parameters!$X$2:$AI$17,MATCH(Calculations!$A5,Parameters!$A$2:$A$17,0),MONTH(Calculations!AX$3)),1/12))</f>
        <v>8</v>
      </c>
      <c r="AY5" s="22">
        <f>IF($A5=0,1/12,IFERROR(INDEX(Parameters!$X$2:$AI$17,MATCH(Calculations!$A5,Parameters!$A$2:$A$17,0),MONTH(Calculations!AY$3)),1/12))</f>
        <v>9</v>
      </c>
      <c r="AZ5" s="22">
        <f>IF($A5=0,1/12,IFERROR(INDEX(Parameters!$X$2:$AI$17,MATCH(Calculations!$A5,Parameters!$A$2:$A$17,0),MONTH(Calculations!AZ$3)),1/12))</f>
        <v>10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11</v>
      </c>
      <c r="AD6" s="22">
        <f>IF($A6=0,1/12,IFERROR(INDEX(Parameters!$X$2:$AI$17,MATCH(Calculations!$A6,Parameters!$A$2:$A$17,0),MONTH(Calculations!AD$3)),1/12))</f>
        <v>12</v>
      </c>
      <c r="AE6" s="22">
        <f>IF($A6=0,1/12,IFERROR(INDEX(Parameters!$X$2:$AI$17,MATCH(Calculations!$A6,Parameters!$A$2:$A$17,0),MONTH(Calculations!AE$3)),1/12))</f>
        <v>1</v>
      </c>
      <c r="AF6" s="22">
        <f>IF($A6=0,1/12,IFERROR(INDEX(Parameters!$X$2:$AI$17,MATCH(Calculations!$A6,Parameters!$A$2:$A$17,0),MONTH(Calculations!AF$3)),1/12))</f>
        <v>2</v>
      </c>
      <c r="AG6" s="22">
        <f>IF($A6=0,1/12,IFERROR(INDEX(Parameters!$X$2:$AI$17,MATCH(Calculations!$A6,Parameters!$A$2:$A$17,0),MONTH(Calculations!AG$3)),1/12))</f>
        <v>3</v>
      </c>
      <c r="AH6" s="22">
        <f>IF($A6=0,1/12,IFERROR(INDEX(Parameters!$X$2:$AI$17,MATCH(Calculations!$A6,Parameters!$A$2:$A$17,0),MONTH(Calculations!AH$3)),1/12))</f>
        <v>4</v>
      </c>
      <c r="AI6" s="22">
        <f>IF($A6=0,1/12,IFERROR(INDEX(Parameters!$X$2:$AI$17,MATCH(Calculations!$A6,Parameters!$A$2:$A$17,0),MONTH(Calculations!AI$3)),1/12))</f>
        <v>5</v>
      </c>
      <c r="AJ6" s="22">
        <f>IF($A6=0,1/12,IFERROR(INDEX(Parameters!$X$2:$AI$17,MATCH(Calculations!$A6,Parameters!$A$2:$A$17,0),MONTH(Calculations!AJ$3)),1/12))</f>
        <v>6</v>
      </c>
      <c r="AK6" s="22">
        <f>IF($A6=0,1/12,IFERROR(INDEX(Parameters!$X$2:$AI$17,MATCH(Calculations!$A6,Parameters!$A$2:$A$17,0),MONTH(Calculations!AK$3)),1/12))</f>
        <v>7</v>
      </c>
      <c r="AL6" s="22">
        <f>IF($A6=0,1/12,IFERROR(INDEX(Parameters!$X$2:$AI$17,MATCH(Calculations!$A6,Parameters!$A$2:$A$17,0),MONTH(Calculations!AL$3)),1/12))</f>
        <v>8</v>
      </c>
      <c r="AM6" s="22">
        <f>IF($A6=0,1/12,IFERROR(INDEX(Parameters!$X$2:$AI$17,MATCH(Calculations!$A6,Parameters!$A$2:$A$17,0),MONTH(Calculations!AM$3)),1/12))</f>
        <v>9</v>
      </c>
      <c r="AN6" s="22">
        <f>IF($A6=0,1/12,IFERROR(INDEX(Parameters!$X$2:$AI$17,MATCH(Calculations!$A6,Parameters!$A$2:$A$17,0),MONTH(Calculations!AN$3)),1/12))</f>
        <v>10</v>
      </c>
      <c r="AO6" s="22">
        <f>IF($A6=0,1/12,IFERROR(INDEX(Parameters!$X$2:$AI$17,MATCH(Calculations!$A6,Parameters!$A$2:$A$17,0),MONTH(Calculations!AO$3)),1/12))</f>
        <v>11</v>
      </c>
      <c r="AP6" s="22">
        <f>IF($A6=0,1/12,IFERROR(INDEX(Parameters!$X$2:$AI$17,MATCH(Calculations!$A6,Parameters!$A$2:$A$17,0),MONTH(Calculations!AP$3)),1/12))</f>
        <v>12</v>
      </c>
      <c r="AQ6" s="22">
        <f>IF($A6=0,1/12,IFERROR(INDEX(Parameters!$X$2:$AI$17,MATCH(Calculations!$A6,Parameters!$A$2:$A$17,0),MONTH(Calculations!AQ$3)),1/12))</f>
        <v>1</v>
      </c>
      <c r="AR6" s="22">
        <f>IF($A6=0,1/12,IFERROR(INDEX(Parameters!$X$2:$AI$17,MATCH(Calculations!$A6,Parameters!$A$2:$A$17,0),MONTH(Calculations!AR$3)),1/12))</f>
        <v>2</v>
      </c>
      <c r="AS6" s="22">
        <f>IF($A6=0,1/12,IFERROR(INDEX(Parameters!$X$2:$AI$17,MATCH(Calculations!$A6,Parameters!$A$2:$A$17,0),MONTH(Calculations!AS$3)),1/12))</f>
        <v>3</v>
      </c>
      <c r="AT6" s="22">
        <f>IF($A6=0,1/12,IFERROR(INDEX(Parameters!$X$2:$AI$17,MATCH(Calculations!$A6,Parameters!$A$2:$A$17,0),MONTH(Calculations!AT$3)),1/12))</f>
        <v>4</v>
      </c>
      <c r="AU6" s="22">
        <f>IF($A6=0,1/12,IFERROR(INDEX(Parameters!$X$2:$AI$17,MATCH(Calculations!$A6,Parameters!$A$2:$A$17,0),MONTH(Calculations!AU$3)),1/12))</f>
        <v>5</v>
      </c>
      <c r="AV6" s="22">
        <f>IF($A6=0,1/12,IFERROR(INDEX(Parameters!$X$2:$AI$17,MATCH(Calculations!$A6,Parameters!$A$2:$A$17,0),MONTH(Calculations!AV$3)),1/12))</f>
        <v>6</v>
      </c>
      <c r="AW6" s="22">
        <f>IF($A6=0,1/12,IFERROR(INDEX(Parameters!$X$2:$AI$17,MATCH(Calculations!$A6,Parameters!$A$2:$A$17,0),MONTH(Calculations!AW$3)),1/12))</f>
        <v>7</v>
      </c>
      <c r="AX6" s="22">
        <f>IF($A6=0,1/12,IFERROR(INDEX(Parameters!$X$2:$AI$17,MATCH(Calculations!$A6,Parameters!$A$2:$A$17,0),MONTH(Calculations!AX$3)),1/12))</f>
        <v>8</v>
      </c>
      <c r="AY6" s="22">
        <f>IF($A6=0,1/12,IFERROR(INDEX(Parameters!$X$2:$AI$17,MATCH(Calculations!$A6,Parameters!$A$2:$A$17,0),MONTH(Calculations!AY$3)),1/12))</f>
        <v>9</v>
      </c>
      <c r="AZ6" s="22">
        <f>IF($A6=0,1/12,IFERROR(INDEX(Parameters!$X$2:$AI$17,MATCH(Calculations!$A6,Parameters!$A$2:$A$17,0),MONTH(Calculations!AZ$3)),1/12))</f>
        <v>10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5</v>
      </c>
      <c r="E14" s="16">
        <f>Inputs!D19</f>
        <v>4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3.166666666666667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9.5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91250</v>
      </c>
      <c r="R14" s="63">
        <f>IFERROR(D14*INDEX(Parameters!$A$22:$P$29,MATCH(Calculations!$A14,Parameters!$A$22:$A$29,0),MATCH(Parameters!$M$22,Parameters!$A$22:$P$22,0)),"")</f>
        <v>5000</v>
      </c>
      <c r="S14" s="63">
        <f>IFERROR(D14*INDEX(Parameters!$A$22:$P$29,MATCH(Calculations!$A14,Parameters!$A$22:$A$29,0),MATCH(Parameters!$N$22,Parameters!$A$22:$P$22,0)),"")</f>
        <v>30000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Machakos</v>
      </c>
    </row>
    <row r="33" spans="1:52">
      <c r="A33">
        <v>1</v>
      </c>
      <c r="B33" s="128">
        <f>G34</f>
        <v>43098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43070</v>
      </c>
      <c r="F33" t="s">
        <v>156</v>
      </c>
      <c r="G33" s="128">
        <f>IF(Inputs!B79="","",DATE(YEAR(Inputs!B79),MONTH(Inputs!B79),DAY(Inputs!B79)))</f>
        <v>43059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43128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43101</v>
      </c>
      <c r="F34" t="s">
        <v>157</v>
      </c>
      <c r="G34" s="128">
        <f>IF(Inputs!B80="","",DATE(YEAR(Inputs!B80),MONTH(Inputs!B80),DAY(Inputs!B80)))</f>
        <v>43098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43159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43132</v>
      </c>
      <c r="F35" t="s">
        <v>159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43187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43160</v>
      </c>
      <c r="F36" t="s">
        <v>160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43218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43191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43248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43221</v>
      </c>
      <c r="F38" t="s">
        <v>222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43279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43252</v>
      </c>
      <c r="F39" t="s">
        <v>165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43309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43282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43340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43313</v>
      </c>
      <c r="F41" t="s">
        <v>223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43371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43344</v>
      </c>
      <c r="F42" t="s">
        <v>224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43401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43374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43432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43405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257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197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292</v>
      </c>
      <c r="B24" s="21" t="s">
        <v>293</v>
      </c>
      <c r="C24" s="116" t="s">
        <v>259</v>
      </c>
      <c r="D24" s="115" t="s">
        <v>259</v>
      </c>
      <c r="E24" s="106">
        <v>0.05</v>
      </c>
      <c r="F24" s="106">
        <v>0.1</v>
      </c>
      <c r="G24" s="106">
        <v>0.2</v>
      </c>
      <c r="H24" s="116" t="s">
        <v>259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294</v>
      </c>
      <c r="C25" s="30" t="s">
        <v>295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259</v>
      </c>
      <c r="J25" s="72" t="s">
        <v>259</v>
      </c>
      <c r="K25" s="72" t="s">
        <v>259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296</v>
      </c>
      <c r="B26" s="16" t="s">
        <v>293</v>
      </c>
      <c r="C26" s="116" t="s">
        <v>259</v>
      </c>
      <c r="D26" s="115" t="s">
        <v>259</v>
      </c>
      <c r="E26" s="106">
        <v>0.2</v>
      </c>
      <c r="F26" s="106">
        <v>0.7</v>
      </c>
      <c r="G26" s="106">
        <v>2</v>
      </c>
      <c r="H26" s="116" t="s">
        <v>259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293</v>
      </c>
      <c r="C27" s="116" t="s">
        <v>259</v>
      </c>
      <c r="D27" s="115" t="s">
        <v>259</v>
      </c>
      <c r="E27" s="106">
        <v>0.15</v>
      </c>
      <c r="F27" s="106">
        <v>0.25</v>
      </c>
      <c r="G27" s="106">
        <v>1</v>
      </c>
      <c r="H27" s="116" t="s">
        <v>259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298</v>
      </c>
      <c r="B28" s="71" t="s">
        <v>293</v>
      </c>
      <c r="C28" s="116" t="s">
        <v>259</v>
      </c>
      <c r="D28" s="115" t="s">
        <v>259</v>
      </c>
      <c r="E28" s="106">
        <v>0.15</v>
      </c>
      <c r="F28" s="106">
        <v>0.25</v>
      </c>
      <c r="G28" s="106">
        <v>1</v>
      </c>
      <c r="H28" s="116" t="s">
        <v>259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293</v>
      </c>
      <c r="C29" s="31" t="s">
        <v>259</v>
      </c>
      <c r="D29" s="31" t="s">
        <v>259</v>
      </c>
      <c r="E29" s="24">
        <v>0.1</v>
      </c>
      <c r="F29" s="24">
        <v>0.2</v>
      </c>
      <c r="G29" s="24">
        <v>0</v>
      </c>
      <c r="H29" s="31" t="s">
        <v>259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96</v>
      </c>
      <c r="B41" s="191" t="s">
        <v>109</v>
      </c>
      <c r="C41" s="191" t="s">
        <v>92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292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296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298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266</v>
      </c>
      <c r="E52" s="12" t="s">
        <v>266</v>
      </c>
      <c r="F52" s="12" t="s">
        <v>266</v>
      </c>
      <c r="G52" s="12" t="s">
        <v>310</v>
      </c>
      <c r="H52" s="12" t="s">
        <v>127</v>
      </c>
      <c r="I52" s="12" t="s">
        <v>311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225</v>
      </c>
      <c r="E53" s="10" t="s">
        <v>184</v>
      </c>
      <c r="F53" s="10" t="s">
        <v>244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109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109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109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109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109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109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109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162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221</v>
      </c>
      <c r="J76" s="11" t="s">
        <v>344</v>
      </c>
      <c r="K76" s="11" t="s">
        <v>174</v>
      </c>
      <c r="AJ76" s="12"/>
    </row>
    <row r="77" spans="1:36">
      <c r="A77" t="s">
        <v>92</v>
      </c>
      <c r="B77" s="176">
        <v>0</v>
      </c>
      <c r="C77" s="12" t="s">
        <v>345</v>
      </c>
      <c r="E77" s="12" t="s">
        <v>109</v>
      </c>
      <c r="F77" s="12" t="s">
        <v>109</v>
      </c>
      <c r="G77" s="12" t="s">
        <v>346</v>
      </c>
      <c r="H77" s="12" t="s">
        <v>127</v>
      </c>
      <c r="I77" s="12" t="s">
        <v>347</v>
      </c>
      <c r="J77" s="136" t="s">
        <v>348</v>
      </c>
      <c r="K77" s="12" t="s">
        <v>109</v>
      </c>
      <c r="AJ77" s="12"/>
    </row>
    <row r="78" spans="1:36">
      <c r="A78" t="s">
        <v>109</v>
      </c>
      <c r="B78" s="176">
        <v>5</v>
      </c>
      <c r="C78" s="134" t="s">
        <v>349</v>
      </c>
      <c r="D78" s="133"/>
      <c r="E78" s="12" t="s">
        <v>350</v>
      </c>
      <c r="F78" s="12" t="s">
        <v>93</v>
      </c>
      <c r="G78" s="12" t="s">
        <v>351</v>
      </c>
      <c r="H78" s="12" t="s">
        <v>311</v>
      </c>
      <c r="I78" s="12" t="s">
        <v>352</v>
      </c>
      <c r="J78" s="70" t="s">
        <v>353</v>
      </c>
      <c r="K78" s="12" t="s">
        <v>109</v>
      </c>
      <c r="AJ78" s="12"/>
    </row>
    <row r="79" spans="1:36">
      <c r="B79" s="176">
        <v>10</v>
      </c>
      <c r="C79" s="12" t="s">
        <v>354</v>
      </c>
      <c r="D79" s="12">
        <v>1</v>
      </c>
      <c r="E79" s="12" t="s">
        <v>355</v>
      </c>
      <c r="F79" s="12" t="s">
        <v>356</v>
      </c>
      <c r="G79" s="12" t="s">
        <v>110</v>
      </c>
      <c r="I79" s="12" t="s">
        <v>162</v>
      </c>
      <c r="J79" s="70" t="s">
        <v>357</v>
      </c>
      <c r="K79" s="12" t="s">
        <v>109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358</v>
      </c>
      <c r="F80" s="12" t="s">
        <v>359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92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145</v>
      </c>
      <c r="D83" s="12">
        <f>D82+1</f>
        <v>5</v>
      </c>
    </row>
    <row r="84" spans="1:36">
      <c r="B84" s="176">
        <v>60</v>
      </c>
      <c r="C84" s="12" t="s">
        <v>146</v>
      </c>
      <c r="D84" s="12">
        <f>D83+1</f>
        <v>6</v>
      </c>
    </row>
    <row r="85" spans="1:36">
      <c r="B85" s="176">
        <v>70</v>
      </c>
      <c r="C85" s="12" t="s">
        <v>147</v>
      </c>
      <c r="D85" s="12">
        <f>D84+1</f>
        <v>7</v>
      </c>
    </row>
    <row r="86" spans="1:36">
      <c r="B86" s="176">
        <v>80</v>
      </c>
      <c r="C86" s="12" t="s">
        <v>148</v>
      </c>
      <c r="D86" s="12">
        <f>D85+1</f>
        <v>8</v>
      </c>
    </row>
    <row r="87" spans="1:36">
      <c r="B87" s="176">
        <v>89.99999999999999</v>
      </c>
      <c r="C87" s="12" t="s">
        <v>149</v>
      </c>
      <c r="D87" s="12">
        <f>D86+1</f>
        <v>9</v>
      </c>
    </row>
    <row r="88" spans="1:36">
      <c r="B88" s="176">
        <v>99.99999999999999</v>
      </c>
      <c r="C88" s="12" t="s">
        <v>150</v>
      </c>
      <c r="D88" s="12">
        <f>D87+1</f>
        <v>10</v>
      </c>
    </row>
    <row r="89" spans="1:36">
      <c r="C89" s="12" t="s">
        <v>363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