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<sst xmlns="http://schemas.openxmlformats.org/spreadsheetml/2006/main" uniqueCount="370">
  <si>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</si>
  <si>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</si>
  <si>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</si>
  <si>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</si>
  <si>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</si>
  <si>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</si>
  <si>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</si>
  <si>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</si>
  <si>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</si>
  <si>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</si>
  <si>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</si>
  <si>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</si>
  <si>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</si>
  <si>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</si>
  <si>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</si>
  <si>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</si>
  <si>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</si>
  <si>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</si>
  <si>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</si>
  <si>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</si>
  <si>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</si>
  <si>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</si>
  <si>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</si>
  <si>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</si>
  <si>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</si>
  <si>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</si>
  <si>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</si>
  <si>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</si>
  <si>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</si>
  <si>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</si>
  <si>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</si>
  <si>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</si>
  <si>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</si>
  <si>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</si>
  <si>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</si>
  <si>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</si>
  <si>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</si>
  <si>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</si>
  <si>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</si>
  <si>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</si>
  <si>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</si>
  <si>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</si>
  <si>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</si>
  <si>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</si>
  <si>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</si>
  <si>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</si>
  <si>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</si>
  <si>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</si>
  <si>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</si>
  <si>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</si>
  <si>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</si>
  <si>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</si>
  <si>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</si>
  <si>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</si>
  <si>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</si>
  <si>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</si>
  <si>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</si>
  <si>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</si>
  <si>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</si>
  <si>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</si>
  <si>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</si>
  <si>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</si>
  <si>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</si>
  <si>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</si>
  <si>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</si>
  <si>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</si>
  <si>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</si>
  <si>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</si>
  <si>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</si>
  <si>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</si>
  <si>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</si>
  <si>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</si>
  <si>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</si>
  <si>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</si>
  <si>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</si>
  <si>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</si>
  <si>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</si>
  <si>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</si>
  <si>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</si>
  <si>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</si>
  <si>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</si>
  <si>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</si>
  <si>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</si>
  <si>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</si>
  <si>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</si>
  <si>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</si>
  <si>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</si>
  <si>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</si>
  <si>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</si>
  <si>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</si>
  <si>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Shop_certified variety</t>
  </si>
  <si>
    <t>Yes both manure and inorganic</t>
  </si>
  <si>
    <t>Yes</t>
  </si>
  <si>
    <t>No</t>
  </si>
  <si>
    <t>no planting_trees are mature</t>
  </si>
  <si>
    <t>Other crops</t>
  </si>
  <si>
    <t>NGO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</si>
  <si>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</si>
  <si>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</si>
  <si>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</si>
  <si>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</si>
  <si>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</si>
  <si>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</si>
  <si>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</si>
  <si>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</si>
  <si>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</si>
  <si>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</si>
  <si>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</si>
  <si>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</si>
  <si>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</si>
  <si>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</si>
  <si>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</si>
  <si>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</si>
  <si>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</si>
  <si>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</si>
  <si>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</si>
  <si>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</si>
  <si>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</si>
  <si>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</si>
  <si>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</si>
  <si>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andRestorant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</si>
  <si>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</si>
  <si>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</si>
  <si>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</si>
  <si>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</si>
  <si>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</si>
  <si>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</si>
  <si>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</si>
  <si>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</si>
  <si>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</si>
  <si>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</si>
  <si>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</si>
  <si>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</si>
  <si>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</si>
  <si>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</si>
  <si>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</si>
  <si>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</si>
  <si>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</si>
  <si>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</si>
  <si>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</si>
  <si>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</si>
  <si>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</si>
  <si>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</si>
  <si>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</si>
  <si>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</si>
  <si>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</si>
  <si>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</si>
  <si>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</si>
  <si>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12/4/2015</t>
  </si>
  <si>
    <t>equity</t>
  </si>
  <si>
    <t>11/20/2017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</si>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</sst>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Bar andRestorant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0.2789775642645057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0.0769524893314367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571384.1748549709</v>
      </c>
    </row>
    <row r="18" spans="1:7">
      <c r="B18" s="1" t="s">
        <v>12</v>
      </c>
      <c r="C18" s="36">
        <f>MIN(Output!B6:M6)</f>
        <v>44162.11525668722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49474.78086883135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48412.24774640251</v>
      </c>
      <c r="C6" s="51">
        <f>C30-C88</f>
        <v>49474.78086883135</v>
      </c>
      <c r="D6" s="51">
        <f>D30-D88</f>
        <v>49474.78086883135</v>
      </c>
      <c r="E6" s="51">
        <f>E30-E88</f>
        <v>49474.78086883135</v>
      </c>
      <c r="F6" s="51">
        <f>F30-F88</f>
        <v>48412.24774640251</v>
      </c>
      <c r="G6" s="51">
        <f>G30-G88</f>
        <v>46287.18150154487</v>
      </c>
      <c r="H6" s="51">
        <f>H30-H88</f>
        <v>44162.11525668722</v>
      </c>
      <c r="I6" s="51">
        <f>I30-I88</f>
        <v>49474.78086883135</v>
      </c>
      <c r="J6" s="51">
        <f>J30-J88</f>
        <v>49474.78086883135</v>
      </c>
      <c r="K6" s="51">
        <f>K30-K88</f>
        <v>46287.18150154487</v>
      </c>
      <c r="L6" s="51">
        <f>L30-L88</f>
        <v>44162.11525668722</v>
      </c>
      <c r="M6" s="51">
        <f>M30-M88</f>
        <v>46287.18150154487</v>
      </c>
      <c r="N6" s="51">
        <f>N30-N88</f>
        <v>48412.24774640251</v>
      </c>
      <c r="O6" s="51">
        <f>O30-O88</f>
        <v>49474.78086883135</v>
      </c>
      <c r="P6" s="51">
        <f>P30-P88</f>
        <v>49474.78086883135</v>
      </c>
      <c r="Q6" s="51">
        <f>Q30-Q88</f>
        <v>49474.78086883135</v>
      </c>
      <c r="R6" s="51">
        <f>R30-R88</f>
        <v>48412.24774640251</v>
      </c>
      <c r="S6" s="51">
        <f>S30-S88</f>
        <v>46287.18150154487</v>
      </c>
      <c r="T6" s="51">
        <f>T30-T88</f>
        <v>44162.11525668722</v>
      </c>
      <c r="U6" s="51">
        <f>U30-U88</f>
        <v>49474.78086883135</v>
      </c>
      <c r="V6" s="51">
        <f>V30-V88</f>
        <v>49474.78086883135</v>
      </c>
      <c r="W6" s="51">
        <f>W30-W88</f>
        <v>46287.18150154487</v>
      </c>
      <c r="X6" s="51">
        <f>X30-X88</f>
        <v>44162.11525668722</v>
      </c>
      <c r="Y6" s="51">
        <f>Y30-Y88</f>
        <v>46287.18150154487</v>
      </c>
      <c r="Z6" s="51">
        <f>SUMIF($B$13:$Y$13,"Yes",B6:Y6)</f>
        <v>1142768.349709941</v>
      </c>
      <c r="AA6" s="51">
        <f>AA30-AA88</f>
        <v>571384.1748549703</v>
      </c>
      <c r="AB6" s="51">
        <f>AB30-AB88</f>
        <v>1142768.34970994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33597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21563</v>
      </c>
      <c r="J7" s="80">
        <f>IF(ISERROR(VLOOKUP(MONTH(J5),Inputs!$D$66:$D$71,1,0)),"",INDEX(Inputs!$B$66:$B$71,MATCH(MONTH(Output!J5),Inputs!$D$66:$D$71,0))-INDEX(Inputs!$C$66:$C$71,MATCH(MONTH(Output!J5),Inputs!$D$66:$D$71,0)))</f>
        <v>41582</v>
      </c>
      <c r="K7" s="80">
        <f>IF(ISERROR(VLOOKUP(MONTH(K5),Inputs!$D$66:$D$71,1,0)),"",INDEX(Inputs!$B$66:$B$71,MATCH(MONTH(Output!K5),Inputs!$D$66:$D$71,0))-INDEX(Inputs!$C$66:$C$71,MATCH(MONTH(Output!K5),Inputs!$D$66:$D$71,0)))</f>
        <v>7000</v>
      </c>
      <c r="L7" s="80">
        <f>IF(ISERROR(VLOOKUP(MONTH(L5),Inputs!$D$66:$D$71,1,0)),"",INDEX(Inputs!$B$66:$B$71,MATCH(MONTH(Output!L5),Inputs!$D$66:$D$71,0))-INDEX(Inputs!$C$66:$C$71,MATCH(MONTH(Output!L5),Inputs!$D$66:$D$71,0)))</f>
        <v>-9306</v>
      </c>
      <c r="M7" s="80">
        <f>IF(ISERROR(VLOOKUP(MONTH(M5),Inputs!$D$66:$D$71,1,0)),"",INDEX(Inputs!$B$66:$B$71,MATCH(MONTH(Output!M5),Inputs!$D$66:$D$71,0))-INDEX(Inputs!$C$66:$C$71,MATCH(MONTH(Output!M5),Inputs!$D$66:$D$71,0)))</f>
        <v>51750</v>
      </c>
      <c r="N7" s="80">
        <f>IF(ISERROR(VLOOKUP(MONTH(N5),Inputs!$D$66:$D$71,1,0)),"",INDEX(Inputs!$B$66:$B$71,MATCH(MONTH(Output!N5),Inputs!$D$66:$D$71,0))-INDEX(Inputs!$C$66:$C$71,MATCH(MONTH(Output!N5),Inputs!$D$66:$D$71,0)))</f>
        <v>33597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21563</v>
      </c>
      <c r="V7" s="80">
        <f>IF(ISERROR(VLOOKUP(MONTH(V5),Inputs!$D$66:$D$71,1,0)),"",INDEX(Inputs!$B$66:$B$71,MATCH(MONTH(Output!V5),Inputs!$D$66:$D$71,0))-INDEX(Inputs!$C$66:$C$71,MATCH(MONTH(Output!V5),Inputs!$D$66:$D$71,0)))</f>
        <v>41582</v>
      </c>
      <c r="W7" s="80">
        <f>IF(ISERROR(VLOOKUP(MONTH(W5),Inputs!$D$66:$D$71,1,0)),"",INDEX(Inputs!$B$66:$B$71,MATCH(MONTH(Output!W5),Inputs!$D$66:$D$71,0))-INDEX(Inputs!$C$66:$C$71,MATCH(MONTH(Output!W5),Inputs!$D$66:$D$71,0)))</f>
        <v>7000</v>
      </c>
      <c r="X7" s="80">
        <f>IF(ISERROR(VLOOKUP(MONTH(X5),Inputs!$D$66:$D$71,1,0)),"",INDEX(Inputs!$B$66:$B$71,MATCH(MONTH(Output!X5),Inputs!$D$66:$D$71,0))-INDEX(Inputs!$C$66:$C$71,MATCH(MONTH(Output!X5),Inputs!$D$66:$D$71,0)))</f>
        <v>-9306</v>
      </c>
      <c r="Y7" s="80">
        <f>IF(ISERROR(VLOOKUP(MONTH(Y5),Inputs!$D$66:$D$71,1,0)),"",INDEX(Inputs!$B$66:$B$71,MATCH(MONTH(Output!Y5),Inputs!$D$66:$D$71,0))-INDEX(Inputs!$C$66:$C$71,MATCH(MONTH(Output!Y5),Inputs!$D$66:$D$71,0)))</f>
        <v>51750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348412.2477464025</v>
      </c>
      <c r="C11" s="80">
        <f>C6+C9-C10</f>
        <v>31974.78086883135</v>
      </c>
      <c r="D11" s="80">
        <f>D6+D9-D10</f>
        <v>31974.78086883135</v>
      </c>
      <c r="E11" s="80">
        <f>E6+E9-E10</f>
        <v>31974.78086883135</v>
      </c>
      <c r="F11" s="80">
        <f>F6+F9-F10</f>
        <v>30912.24774640251</v>
      </c>
      <c r="G11" s="80">
        <f>G6+G9-G10</f>
        <v>28787.18150154487</v>
      </c>
      <c r="H11" s="80">
        <f>H6+H9-H10</f>
        <v>26662.11525668722</v>
      </c>
      <c r="I11" s="80">
        <f>I6+I9-I10</f>
        <v>31974.78086883135</v>
      </c>
      <c r="J11" s="80">
        <f>J6+J9-J10</f>
        <v>31974.78086883135</v>
      </c>
      <c r="K11" s="80">
        <f>K6+K9-K10</f>
        <v>28787.18150154487</v>
      </c>
      <c r="L11" s="80">
        <f>L6+L9-L10</f>
        <v>26662.11525668722</v>
      </c>
      <c r="M11" s="80">
        <f>M6+M9-M10</f>
        <v>28787.18150154487</v>
      </c>
      <c r="N11" s="80">
        <f>N6+N9-N10</f>
        <v>30912.24774640251</v>
      </c>
      <c r="O11" s="80">
        <f>O6+O9-O10</f>
        <v>31974.78086883135</v>
      </c>
      <c r="P11" s="80">
        <f>P6+P9-P10</f>
        <v>31974.78086883135</v>
      </c>
      <c r="Q11" s="80">
        <f>Q6+Q9-Q10</f>
        <v>31974.78086883135</v>
      </c>
      <c r="R11" s="80">
        <f>R6+R9-R10</f>
        <v>30912.24774640251</v>
      </c>
      <c r="S11" s="80">
        <f>S6+S9-S10</f>
        <v>28787.18150154487</v>
      </c>
      <c r="T11" s="80">
        <f>T6+T9-T10</f>
        <v>26662.11525668722</v>
      </c>
      <c r="U11" s="80">
        <f>U6+U9-U10</f>
        <v>31974.78086883135</v>
      </c>
      <c r="V11" s="80">
        <f>V6+V9-V10</f>
        <v>31974.78086883135</v>
      </c>
      <c r="W11" s="80">
        <f>W6+W9-W10</f>
        <v>28787.18150154487</v>
      </c>
      <c r="X11" s="80">
        <f>X6+X9-X10</f>
        <v>26662.11525668722</v>
      </c>
      <c r="Y11" s="80">
        <f>Y6+Y9-Y10</f>
        <v>28787.18150154487</v>
      </c>
      <c r="Z11" s="85">
        <f>SUMIF($B$13:$Y$13,"Yes",B11:Y11)</f>
        <v>1040268.349709942</v>
      </c>
      <c r="AA11" s="80">
        <f>SUM(B11:M11)</f>
        <v>678884.1748549709</v>
      </c>
      <c r="AB11" s="46">
        <f>SUM(B11:Y11)</f>
        <v>1040268.349709942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0.04398233353046277</v>
      </c>
      <c r="D12" s="82">
        <f>IF(D13="Yes",IF(SUM($B$10:D10)/(SUM($B$6:D6)+SUM($B$9:D9))&lt;0,999.99,SUM($B$10:D10)/(SUM($B$6:D6)+SUM($B$9:D9))),"")</f>
        <v>0.07823645035852503</v>
      </c>
      <c r="E12" s="82">
        <f>IF(E13="Yes",IF(SUM($B$10:E10)/(SUM($B$6:E6)+SUM($B$9:E9))&lt;0,999.99,SUM($B$10:E10)/(SUM($B$6:E6)+SUM($B$9:E9))),"")</f>
        <v>0.1056685457943223</v>
      </c>
      <c r="F12" s="82">
        <f>IF(F13="Yes",IF(SUM($B$10:F10)/(SUM($B$6:F6)+SUM($B$9:F9))&lt;0,999.99,SUM($B$10:F10)/(SUM($B$6:F6)+SUM($B$9:F9))),"")</f>
        <v>0.1283817499621188</v>
      </c>
      <c r="G12" s="82">
        <f>IF(G13="Yes",IF(SUM($B$10:G10)/(SUM($B$6:G6)+SUM($B$9:G9))&lt;0,999.99,SUM($B$10:G10)/(SUM($B$6:G6)+SUM($B$9:G9))),"")</f>
        <v>0.1479199864431639</v>
      </c>
      <c r="H12" s="82">
        <f>IF(H13="Yes",IF(SUM($B$10:H10)/(SUM($B$6:H6)+SUM($B$9:H9))&lt;0,999.99,SUM($B$10:H10)/(SUM($B$6:H6)+SUM($B$9:H9))),"")</f>
        <v>0.1651727356782822</v>
      </c>
      <c r="I12" s="82">
        <f>IF(I13="Yes",IF(SUM($B$10:I10)/(SUM($B$6:I6)+SUM($B$9:I9))&lt;0,999.99,SUM($B$10:I10)/(SUM($B$6:I6)+SUM($B$9:I9))),"")</f>
        <v>0.1787869852825923</v>
      </c>
      <c r="J12" s="82">
        <f>IF(J13="Yes",IF(SUM($B$10:J10)/(SUM($B$6:J6)+SUM($B$9:J9))&lt;0,999.99,SUM($B$10:J10)/(SUM($B$6:J6)+SUM($B$9:J9))),"")</f>
        <v>0.1905675341375812</v>
      </c>
      <c r="K12" s="82">
        <f>IF(K13="Yes",IF(SUM($B$10:K10)/(SUM($B$6:K6)+SUM($B$9:K9))&lt;0,999.99,SUM($B$10:K10)/(SUM($B$6:K6)+SUM($B$9:K9))),"")</f>
        <v>0.2016813493896601</v>
      </c>
      <c r="L12" s="82">
        <f>IF(L13="Yes",IF(SUM($B$10:L10)/(SUM($B$6:L6)+SUM($B$9:L9))&lt;0,999.99,SUM($B$10:L10)/(SUM($B$6:L6)+SUM($B$9:L9))),"")</f>
        <v>0.2120962764495733</v>
      </c>
      <c r="M12" s="82">
        <f>IF(M13="Yes",IF(SUM($B$10:M10)/(SUM($B$6:M6)+SUM($B$9:M9))&lt;0,999.99,SUM($B$10:M10)/(SUM($B$6:M6)+SUM($B$9:M9))),"")</f>
        <v>0.2209128941686815</v>
      </c>
      <c r="N12" s="82">
        <f>IF(N13="Yes",IF(SUM($B$10:N10)/(SUM($B$6:N6)+SUM($B$9:N9))&lt;0,999.99,SUM($B$10:N10)/(SUM($B$6:N6)+SUM($B$9:N9))),"")</f>
        <v>0.2283113902596803</v>
      </c>
      <c r="O12" s="82">
        <f>IF(O13="Yes",IF(SUM($B$10:O10)/(SUM($B$6:O6)+SUM($B$9:O9))&lt;0,999.99,SUM($B$10:O10)/(SUM($B$6:O6)+SUM($B$9:O9))),"")</f>
        <v>0.2347124305204775</v>
      </c>
      <c r="P12" s="82">
        <f>IF(P13="Yes",IF(SUM($B$10:P10)/(SUM($B$6:P6)+SUM($B$9:P9))&lt;0,999.99,SUM($B$10:P10)/(SUM($B$6:P6)+SUM($B$9:P9))),"")</f>
        <v>0.2404917455050941</v>
      </c>
      <c r="Q12" s="82">
        <f>IF(Q13="Yes",IF(SUM($B$10:Q10)/(SUM($B$6:Q6)+SUM($B$9:Q9))&lt;0,999.99,SUM($B$10:Q10)/(SUM($B$6:Q6)+SUM($B$9:Q9))),"")</f>
        <v>0.2457357210697169</v>
      </c>
      <c r="R12" s="82">
        <f>IF(R13="Yes",IF(SUM($B$10:R10)/(SUM($B$6:R6)+SUM($B$9:R9))&lt;0,999.99,SUM($B$10:R10)/(SUM($B$6:R6)+SUM($B$9:R9))),"")</f>
        <v>0.2507538257884795</v>
      </c>
      <c r="S12" s="82">
        <f>IF(S13="Yes",IF(SUM($B$10:S10)/(SUM($B$6:S6)+SUM($B$9:S9))&lt;0,999.99,SUM($B$10:S10)/(SUM($B$6:S6)+SUM($B$9:S9))),"")</f>
        <v>0.2558215098665599</v>
      </c>
      <c r="T12" s="82">
        <f>IF(T13="Yes",IF(SUM($B$10:T10)/(SUM($B$6:T6)+SUM($B$9:T9))&lt;0,999.99,SUM($B$10:T10)/(SUM($B$6:T6)+SUM($B$9:T9))),"")</f>
        <v>0.2609598346901674</v>
      </c>
      <c r="U12" s="82">
        <f>IF(U13="Yes",IF(SUM($B$10:U10)/(SUM($B$6:U6)+SUM($B$9:U9))&lt;0,999.99,SUM($B$10:U10)/(SUM($B$6:U6)+SUM($B$9:U9))),"")</f>
        <v>0.2646119324719041</v>
      </c>
      <c r="V12" s="82">
        <f>IF(V13="Yes",IF(SUM($B$10:V10)/(SUM($B$6:V6)+SUM($B$9:V9))&lt;0,999.99,SUM($B$10:V10)/(SUM($B$6:V6)+SUM($B$9:V9))),"")</f>
        <v>0.2679873344984868</v>
      </c>
      <c r="W12" s="82">
        <f>IF(W13="Yes",IF(SUM($B$10:W10)/(SUM($B$6:W6)+SUM($B$9:W9))&lt;0,999.99,SUM($B$10:W10)/(SUM($B$6:W6)+SUM($B$9:W9))),"")</f>
        <v>0.2717553961824741</v>
      </c>
      <c r="X12" s="82">
        <f>IF(X13="Yes",IF(SUM($B$10:X10)/(SUM($B$6:X6)+SUM($B$9:X9))&lt;0,999.99,SUM($B$10:X10)/(SUM($B$6:X6)+SUM($B$9:X9))),"")</f>
        <v>0.2756929407747993</v>
      </c>
      <c r="Y12" s="82">
        <f>IF(Y13="Yes",IF(SUM($B$10:Y10)/(SUM($B$6:Y6)+SUM($B$9:Y9))&lt;0,999.99,SUM($B$10:Y10)/(SUM($B$6:Y6)+SUM($B$9:Y9))),"")</f>
        <v>0.2789775642645057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4250.132489715314</v>
      </c>
      <c r="C18" s="36">
        <f>O18</f>
        <v>5312.665612144142</v>
      </c>
      <c r="D18" s="36">
        <f>P18</f>
        <v>5312.665612144142</v>
      </c>
      <c r="E18" s="36">
        <f>Q18</f>
        <v>5312.665612144142</v>
      </c>
      <c r="F18" s="36">
        <f>R18</f>
        <v>4250.132489715314</v>
      </c>
      <c r="G18" s="36">
        <f>S18</f>
        <v>2125.066244857657</v>
      </c>
      <c r="H18" s="36">
        <f>T18</f>
        <v>0</v>
      </c>
      <c r="I18" s="36">
        <f>U18</f>
        <v>5312.665612144142</v>
      </c>
      <c r="J18" s="36">
        <f>V18</f>
        <v>5312.665612144142</v>
      </c>
      <c r="K18" s="36">
        <f>W18</f>
        <v>2125.066244857657</v>
      </c>
      <c r="L18" s="36">
        <f>X18</f>
        <v>0</v>
      </c>
      <c r="M18" s="36">
        <f>Y18</f>
        <v>2125.066244857657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4250.132489715314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5312.665612144142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5312.665612144142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5312.665612144142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4250.132489715314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2125.066244857657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5312.665612144142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5312.665612144142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2125.066244857657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2125.066244857657</v>
      </c>
      <c r="Z18" s="36">
        <f>SUMIF($B$13:$Y$13,"Yes",B18:Y18)</f>
        <v>82877.58354944864</v>
      </c>
      <c r="AA18" s="36">
        <f>SUM(B18:M18)</f>
        <v>41438.7917747243</v>
      </c>
      <c r="AB18" s="36">
        <f>SUM(B18:Y18)</f>
        <v>82877.58354944864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25999.99999999999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1040250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5250</v>
      </c>
      <c r="C25" s="36">
        <f>IFERROR(Calculations!$P15/12,"")</f>
        <v>5250</v>
      </c>
      <c r="D25" s="36">
        <f>IFERROR(Calculations!$P15/12,"")</f>
        <v>5250</v>
      </c>
      <c r="E25" s="36">
        <f>IFERROR(Calculations!$P15/12,"")</f>
        <v>5250</v>
      </c>
      <c r="F25" s="36">
        <f>IFERROR(Calculations!$P15/12,"")</f>
        <v>5250</v>
      </c>
      <c r="G25" s="36">
        <f>IFERROR(Calculations!$P15/12,"")</f>
        <v>5250</v>
      </c>
      <c r="H25" s="36">
        <f>IFERROR(Calculations!$P15/12,"")</f>
        <v>5250</v>
      </c>
      <c r="I25" s="36">
        <f>IFERROR(Calculations!$P15/12,"")</f>
        <v>5250</v>
      </c>
      <c r="J25" s="36">
        <f>IFERROR(Calculations!$P15/12,"")</f>
        <v>5250</v>
      </c>
      <c r="K25" s="36">
        <f>IFERROR(Calculations!$P15/12,"")</f>
        <v>5250</v>
      </c>
      <c r="L25" s="36">
        <f>IFERROR(Calculations!$P15/12,"")</f>
        <v>5250</v>
      </c>
      <c r="M25" s="36">
        <f>IFERROR(Calculations!$P15/12,"")</f>
        <v>5250</v>
      </c>
      <c r="N25" s="36">
        <f>IFERROR(Calculations!$P15/12,"")</f>
        <v>5250</v>
      </c>
      <c r="O25" s="36">
        <f>IFERROR(Calculations!$P15/12,"")</f>
        <v>5250</v>
      </c>
      <c r="P25" s="36">
        <f>IFERROR(Calculations!$P15/12,"")</f>
        <v>5250</v>
      </c>
      <c r="Q25" s="36">
        <f>IFERROR(Calculations!$P15/12,"")</f>
        <v>5250</v>
      </c>
      <c r="R25" s="36">
        <f>IFERROR(Calculations!$P15/12,"")</f>
        <v>5250</v>
      </c>
      <c r="S25" s="36">
        <f>IFERROR(Calculations!$P15/12,"")</f>
        <v>5250</v>
      </c>
      <c r="T25" s="36">
        <f>IFERROR(Calculations!$P15/12,"")</f>
        <v>5250</v>
      </c>
      <c r="U25" s="36">
        <f>IFERROR(Calculations!$P15/12,"")</f>
        <v>5250</v>
      </c>
      <c r="V25" s="36">
        <f>IFERROR(Calculations!$P15/12,"")</f>
        <v>5250</v>
      </c>
      <c r="W25" s="36">
        <f>IFERROR(Calculations!$P15/12,"")</f>
        <v>5250</v>
      </c>
      <c r="X25" s="36">
        <f>IFERROR(Calculations!$P15/12,"")</f>
        <v>5250</v>
      </c>
      <c r="Y25" s="36">
        <f>IFERROR(Calculations!$P15/12,"")</f>
        <v>5250</v>
      </c>
      <c r="Z25" s="36">
        <f>SUMIF($B$13:$Y$13,"Yes",B25:Y25)</f>
        <v>126000</v>
      </c>
      <c r="AA25" s="36">
        <f>SUM(B25:M25)</f>
        <v>63000</v>
      </c>
      <c r="AB25" s="46">
        <f>SUM(B25:Y25)</f>
        <v>126000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144000</v>
      </c>
      <c r="C29" s="37">
        <f>Inputs!$B$30</f>
        <v>144000</v>
      </c>
      <c r="D29" s="37">
        <f>Inputs!$B$30</f>
        <v>144000</v>
      </c>
      <c r="E29" s="37">
        <f>Inputs!$B$30</f>
        <v>144000</v>
      </c>
      <c r="F29" s="37">
        <f>Inputs!$B$30</f>
        <v>144000</v>
      </c>
      <c r="G29" s="37">
        <f>Inputs!$B$30</f>
        <v>144000</v>
      </c>
      <c r="H29" s="37">
        <f>Inputs!$B$30</f>
        <v>144000</v>
      </c>
      <c r="I29" s="37">
        <f>Inputs!$B$30</f>
        <v>144000</v>
      </c>
      <c r="J29" s="37">
        <f>Inputs!$B$30</f>
        <v>144000</v>
      </c>
      <c r="K29" s="37">
        <f>Inputs!$B$30</f>
        <v>144000</v>
      </c>
      <c r="L29" s="37">
        <f>Inputs!$B$30</f>
        <v>144000</v>
      </c>
      <c r="M29" s="37">
        <f>Inputs!$B$30</f>
        <v>144000</v>
      </c>
      <c r="N29" s="37">
        <f>Inputs!$B$30</f>
        <v>144000</v>
      </c>
      <c r="O29" s="37">
        <f>Inputs!$B$30</f>
        <v>144000</v>
      </c>
      <c r="P29" s="37">
        <f>Inputs!$B$30</f>
        <v>144000</v>
      </c>
      <c r="Q29" s="37">
        <f>Inputs!$B$30</f>
        <v>144000</v>
      </c>
      <c r="R29" s="37">
        <f>Inputs!$B$30</f>
        <v>144000</v>
      </c>
      <c r="S29" s="37">
        <f>Inputs!$B$30</f>
        <v>144000</v>
      </c>
      <c r="T29" s="37">
        <f>Inputs!$B$30</f>
        <v>144000</v>
      </c>
      <c r="U29" s="37">
        <f>Inputs!$B$30</f>
        <v>144000</v>
      </c>
      <c r="V29" s="37">
        <f>Inputs!$B$30</f>
        <v>144000</v>
      </c>
      <c r="W29" s="37">
        <f>Inputs!$B$30</f>
        <v>144000</v>
      </c>
      <c r="X29" s="37">
        <f>Inputs!$B$30</f>
        <v>144000</v>
      </c>
      <c r="Y29" s="37">
        <f>Inputs!$B$30</f>
        <v>144000</v>
      </c>
      <c r="Z29" s="37">
        <f>SUMIF($B$13:$Y$13,"Yes",B29:Y29)</f>
        <v>3456000</v>
      </c>
      <c r="AA29" s="37">
        <f>SUM(B29:M29)</f>
        <v>1728000</v>
      </c>
      <c r="AB29" s="37">
        <f>SUM(B29:Y29)</f>
        <v>3456000</v>
      </c>
    </row>
    <row r="30" spans="1:30" customHeight="1" ht="15.75">
      <c r="A30" s="1" t="s">
        <v>37</v>
      </c>
      <c r="B30" s="19">
        <f>SUM(B18:B29)</f>
        <v>196843.8824897153</v>
      </c>
      <c r="C30" s="19">
        <f>SUM(C18:C29)</f>
        <v>197906.4156121441</v>
      </c>
      <c r="D30" s="19">
        <f>SUM(D18:D29)</f>
        <v>197906.4156121441</v>
      </c>
      <c r="E30" s="19">
        <f>SUM(E18:E29)</f>
        <v>197906.4156121441</v>
      </c>
      <c r="F30" s="19">
        <f>SUM(F18:F29)</f>
        <v>196843.8824897153</v>
      </c>
      <c r="G30" s="19">
        <f>SUM(G18:G29)</f>
        <v>194718.8162448576</v>
      </c>
      <c r="H30" s="19">
        <f>SUM(H18:H29)</f>
        <v>192593.75</v>
      </c>
      <c r="I30" s="19">
        <f>SUM(I18:I29)</f>
        <v>197906.4156121441</v>
      </c>
      <c r="J30" s="19">
        <f>SUM(J18:J29)</f>
        <v>197906.4156121441</v>
      </c>
      <c r="K30" s="19">
        <f>SUM(K18:K29)</f>
        <v>194718.8162448576</v>
      </c>
      <c r="L30" s="19">
        <f>SUM(L18:L29)</f>
        <v>192593.75</v>
      </c>
      <c r="M30" s="19">
        <f>SUM(M18:M29)</f>
        <v>194718.8162448576</v>
      </c>
      <c r="N30" s="19">
        <f>SUM(N18:N29)</f>
        <v>196843.8824897153</v>
      </c>
      <c r="O30" s="19">
        <f>SUM(O18:O29)</f>
        <v>197906.4156121441</v>
      </c>
      <c r="P30" s="19">
        <f>SUM(P18:P29)</f>
        <v>197906.4156121441</v>
      </c>
      <c r="Q30" s="19">
        <f>SUM(Q18:Q29)</f>
        <v>197906.4156121441</v>
      </c>
      <c r="R30" s="19">
        <f>SUM(R18:R29)</f>
        <v>196843.8824897153</v>
      </c>
      <c r="S30" s="19">
        <f>SUM(S18:S29)</f>
        <v>194718.8162448576</v>
      </c>
      <c r="T30" s="19">
        <f>SUM(T18:T29)</f>
        <v>192593.75</v>
      </c>
      <c r="U30" s="19">
        <f>SUM(U18:U29)</f>
        <v>197906.4156121441</v>
      </c>
      <c r="V30" s="19">
        <f>SUM(V18:V29)</f>
        <v>197906.4156121441</v>
      </c>
      <c r="W30" s="19">
        <f>SUM(W18:W29)</f>
        <v>194718.8162448576</v>
      </c>
      <c r="X30" s="19">
        <f>SUM(X18:X29)</f>
        <v>192593.75</v>
      </c>
      <c r="Y30" s="19">
        <f>SUM(Y18:Y29)</f>
        <v>194718.8162448576</v>
      </c>
      <c r="Z30" s="19">
        <f>SUMIF($B$13:$Y$13,"Yes",B30:Y30)</f>
        <v>4705127.583549447</v>
      </c>
      <c r="AA30" s="19">
        <f>SUM(B30:M30)</f>
        <v>2352563.791774724</v>
      </c>
      <c r="AB30" s="19">
        <f>SUM(B30:Y30)</f>
        <v>4705127.583549447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7999.999999999997</v>
      </c>
      <c r="AA36" s="36">
        <f>SUM(B36:M36)</f>
        <v>4000</v>
      </c>
      <c r="AB36" s="36">
        <f>SUM(B36:Y36)</f>
        <v>7999.999999999997</v>
      </c>
      <c r="AC36" s="73"/>
    </row>
    <row r="37" spans="1:30" hidden="true" outlineLevel="1">
      <c r="A37" s="181" t="str">
        <f>Calculations!$A$4</f>
        <v>Coffee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7999.999999999997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666.6666666666667</v>
      </c>
      <c r="C66" s="36">
        <f>O66</f>
        <v>666.6666666666667</v>
      </c>
      <c r="D66" s="36">
        <f>P66</f>
        <v>666.6666666666667</v>
      </c>
      <c r="E66" s="36">
        <f>Q66</f>
        <v>666.6666666666667</v>
      </c>
      <c r="F66" s="36">
        <f>R66</f>
        <v>666.6666666666667</v>
      </c>
      <c r="G66" s="36">
        <f>S66</f>
        <v>666.6666666666667</v>
      </c>
      <c r="H66" s="36">
        <f>T66</f>
        <v>666.6666666666667</v>
      </c>
      <c r="I66" s="36">
        <f>U66</f>
        <v>666.6666666666667</v>
      </c>
      <c r="J66" s="36">
        <f>V66</f>
        <v>666.6666666666667</v>
      </c>
      <c r="K66" s="36">
        <f>W66</f>
        <v>666.6666666666667</v>
      </c>
      <c r="L66" s="36">
        <f>X66</f>
        <v>666.6666666666667</v>
      </c>
      <c r="M66" s="36">
        <f>Y66</f>
        <v>666.6666666666667</v>
      </c>
      <c r="N66" s="46">
        <f>SUM(N67:N71)</f>
        <v>666.6666666666667</v>
      </c>
      <c r="O66" s="46">
        <f>SUM(O67:O71)</f>
        <v>666.6666666666667</v>
      </c>
      <c r="P66" s="46">
        <f>SUM(P67:P71)</f>
        <v>666.6666666666667</v>
      </c>
      <c r="Q66" s="46">
        <f>SUM(Q67:Q71)</f>
        <v>666.6666666666667</v>
      </c>
      <c r="R66" s="46">
        <f>SUM(R67:R71)</f>
        <v>666.6666666666667</v>
      </c>
      <c r="S66" s="46">
        <f>SUM(S67:S71)</f>
        <v>666.6666666666667</v>
      </c>
      <c r="T66" s="46">
        <f>SUM(T67:T71)</f>
        <v>666.6666666666667</v>
      </c>
      <c r="U66" s="46">
        <f>SUM(U67:U71)</f>
        <v>666.6666666666667</v>
      </c>
      <c r="V66" s="46">
        <f>SUM(V67:V71)</f>
        <v>666.6666666666667</v>
      </c>
      <c r="W66" s="46">
        <f>SUM(W67:W71)</f>
        <v>666.6666666666667</v>
      </c>
      <c r="X66" s="46">
        <f>SUM(X67:X71)</f>
        <v>666.6666666666667</v>
      </c>
      <c r="Y66" s="46">
        <f>SUM(Y67:Y71)</f>
        <v>666.6666666666667</v>
      </c>
      <c r="Z66" s="46">
        <f>SUMIF($B$13:$Y$13,"Yes",B66:Y66)</f>
        <v>16000</v>
      </c>
      <c r="AA66" s="46">
        <f>SUM(B66:M66)</f>
        <v>8000.000000000003</v>
      </c>
      <c r="AB66" s="46">
        <f>SUM(B66:Y66)</f>
        <v>16000</v>
      </c>
    </row>
    <row r="67" spans="1:30" hidden="true" outlineLevel="1">
      <c r="A67" s="181" t="str">
        <f>Calculations!$A$4</f>
        <v>Coffee</v>
      </c>
      <c r="B67" s="36">
        <f>N67</f>
        <v>666.6666666666667</v>
      </c>
      <c r="C67" s="36">
        <f>O67</f>
        <v>666.6666666666667</v>
      </c>
      <c r="D67" s="36">
        <f>P67</f>
        <v>666.6666666666667</v>
      </c>
      <c r="E67" s="36">
        <f>Q67</f>
        <v>666.6666666666667</v>
      </c>
      <c r="F67" s="36">
        <f>R67</f>
        <v>666.6666666666667</v>
      </c>
      <c r="G67" s="36">
        <f>S67</f>
        <v>666.6666666666667</v>
      </c>
      <c r="H67" s="36">
        <f>T67</f>
        <v>666.6666666666667</v>
      </c>
      <c r="I67" s="36">
        <f>U67</f>
        <v>666.6666666666667</v>
      </c>
      <c r="J67" s="36">
        <f>V67</f>
        <v>666.6666666666667</v>
      </c>
      <c r="K67" s="36">
        <f>W67</f>
        <v>666.6666666666667</v>
      </c>
      <c r="L67" s="36">
        <f>X67</f>
        <v>666.6666666666667</v>
      </c>
      <c r="M67" s="36">
        <f>Y67</f>
        <v>666.6666666666667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666.6666666666667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666.6666666666667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666.6666666666667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666.6666666666667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666.6666666666667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666.6666666666667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666.6666666666667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666.6666666666667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666.6666666666667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666.6666666666667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666.6666666666667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666.6666666666667</v>
      </c>
      <c r="Z67" s="46">
        <f>SUMIF($B$13:$Y$13,"Yes",B67:Y67)</f>
        <v>16000</v>
      </c>
      <c r="AA67" s="46">
        <f>SUM(B67:M67)</f>
        <v>8000.000000000003</v>
      </c>
      <c r="AB67" s="46">
        <f>SUM(B67:Y67)</f>
        <v>16000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3421.875</v>
      </c>
      <c r="C74" s="46">
        <f>SUM(Calculations!$Q$14:$Q$16)/12</f>
        <v>3421.875</v>
      </c>
      <c r="D74" s="46">
        <f>SUM(Calculations!$Q$14:$Q$16)/12</f>
        <v>3421.875</v>
      </c>
      <c r="E74" s="46">
        <f>SUM(Calculations!$Q$14:$Q$16)/12</f>
        <v>3421.875</v>
      </c>
      <c r="F74" s="46">
        <f>SUM(Calculations!$Q$14:$Q$16)/12</f>
        <v>3421.875</v>
      </c>
      <c r="G74" s="46">
        <f>SUM(Calculations!$Q$14:$Q$16)/12</f>
        <v>3421.875</v>
      </c>
      <c r="H74" s="46">
        <f>SUM(Calculations!$Q$14:$Q$16)/12</f>
        <v>3421.875</v>
      </c>
      <c r="I74" s="46">
        <f>SUM(Calculations!$Q$14:$Q$16)/12</f>
        <v>3421.875</v>
      </c>
      <c r="J74" s="46">
        <f>SUM(Calculations!$Q$14:$Q$16)/12</f>
        <v>3421.875</v>
      </c>
      <c r="K74" s="46">
        <f>SUM(Calculations!$Q$14:$Q$16)/12</f>
        <v>3421.875</v>
      </c>
      <c r="L74" s="46">
        <f>SUM(Calculations!$Q$14:$Q$16)/12</f>
        <v>3421.875</v>
      </c>
      <c r="M74" s="46">
        <f>SUM(Calculations!$Q$14:$Q$16)/12</f>
        <v>3421.875</v>
      </c>
      <c r="N74" s="46">
        <f>SUM(Calculations!$Q$14:$Q$16)/12</f>
        <v>3421.875</v>
      </c>
      <c r="O74" s="46">
        <f>SUM(Calculations!$Q$14:$Q$16)/12</f>
        <v>3421.875</v>
      </c>
      <c r="P74" s="46">
        <f>SUM(Calculations!$Q$14:$Q$16)/12</f>
        <v>3421.875</v>
      </c>
      <c r="Q74" s="46">
        <f>SUM(Calculations!$Q$14:$Q$16)/12</f>
        <v>3421.875</v>
      </c>
      <c r="R74" s="46">
        <f>SUM(Calculations!$Q$14:$Q$16)/12</f>
        <v>3421.875</v>
      </c>
      <c r="S74" s="46">
        <f>SUM(Calculations!$Q$14:$Q$16)/12</f>
        <v>3421.875</v>
      </c>
      <c r="T74" s="46">
        <f>SUM(Calculations!$Q$14:$Q$16)/12</f>
        <v>3421.875</v>
      </c>
      <c r="U74" s="46">
        <f>SUM(Calculations!$Q$14:$Q$16)/12</f>
        <v>3421.875</v>
      </c>
      <c r="V74" s="46">
        <f>SUM(Calculations!$Q$14:$Q$16)/12</f>
        <v>3421.875</v>
      </c>
      <c r="W74" s="46">
        <f>SUM(Calculations!$Q$14:$Q$16)/12</f>
        <v>3421.875</v>
      </c>
      <c r="X74" s="46">
        <f>SUM(Calculations!$Q$14:$Q$16)/12</f>
        <v>3421.875</v>
      </c>
      <c r="Y74" s="46">
        <f>SUM(Calculations!$Q$14:$Q$16)/12</f>
        <v>3421.875</v>
      </c>
      <c r="Z74" s="46">
        <f>SUMIF($B$13:$Y$13,"Yes",B74:Y74)</f>
        <v>82125</v>
      </c>
      <c r="AA74" s="46">
        <f>SUM(B74:M74)</f>
        <v>41062.5</v>
      </c>
      <c r="AB74" s="46">
        <f>SUM(B74:Y74)</f>
        <v>82125</v>
      </c>
    </row>
    <row r="75" spans="1:30">
      <c r="A75" s="16" t="s">
        <v>47</v>
      </c>
      <c r="B75" s="46">
        <f>SUM(Calculations!$R$14:$R$16)/12</f>
        <v>266.6666666666667</v>
      </c>
      <c r="C75" s="46">
        <f>SUM(Calculations!$R$14:$R$16)/12</f>
        <v>266.6666666666667</v>
      </c>
      <c r="D75" s="46">
        <f>SUM(Calculations!$R$14:$R$16)/12</f>
        <v>266.6666666666667</v>
      </c>
      <c r="E75" s="46">
        <f>SUM(Calculations!$R$14:$R$16)/12</f>
        <v>266.6666666666667</v>
      </c>
      <c r="F75" s="46">
        <f>SUM(Calculations!$R$14:$R$16)/12</f>
        <v>266.6666666666667</v>
      </c>
      <c r="G75" s="46">
        <f>SUM(Calculations!$R$14:$R$16)/12</f>
        <v>266.6666666666667</v>
      </c>
      <c r="H75" s="46">
        <f>SUM(Calculations!$R$14:$R$16)/12</f>
        <v>266.6666666666667</v>
      </c>
      <c r="I75" s="46">
        <f>SUM(Calculations!$R$14:$R$16)/12</f>
        <v>266.6666666666667</v>
      </c>
      <c r="J75" s="46">
        <f>SUM(Calculations!$R$14:$R$16)/12</f>
        <v>266.6666666666667</v>
      </c>
      <c r="K75" s="46">
        <f>SUM(Calculations!$R$14:$R$16)/12</f>
        <v>266.6666666666667</v>
      </c>
      <c r="L75" s="46">
        <f>SUM(Calculations!$R$14:$R$16)/12</f>
        <v>266.6666666666667</v>
      </c>
      <c r="M75" s="46">
        <f>SUM(Calculations!$R$14:$R$16)/12</f>
        <v>266.6666666666667</v>
      </c>
      <c r="N75" s="46">
        <f>SUM(Calculations!$R$14:$R$16)/12</f>
        <v>266.6666666666667</v>
      </c>
      <c r="O75" s="46">
        <f>SUM(Calculations!$R$14:$R$16)/12</f>
        <v>266.6666666666667</v>
      </c>
      <c r="P75" s="46">
        <f>SUM(Calculations!$R$14:$R$16)/12</f>
        <v>266.6666666666667</v>
      </c>
      <c r="Q75" s="46">
        <f>SUM(Calculations!$R$14:$R$16)/12</f>
        <v>266.6666666666667</v>
      </c>
      <c r="R75" s="46">
        <f>SUM(Calculations!$R$14:$R$16)/12</f>
        <v>266.6666666666667</v>
      </c>
      <c r="S75" s="46">
        <f>SUM(Calculations!$R$14:$R$16)/12</f>
        <v>266.6666666666667</v>
      </c>
      <c r="T75" s="46">
        <f>SUM(Calculations!$R$14:$R$16)/12</f>
        <v>266.6666666666667</v>
      </c>
      <c r="U75" s="46">
        <f>SUM(Calculations!$R$14:$R$16)/12</f>
        <v>266.6666666666667</v>
      </c>
      <c r="V75" s="46">
        <f>SUM(Calculations!$R$14:$R$16)/12</f>
        <v>266.6666666666667</v>
      </c>
      <c r="W75" s="46">
        <f>SUM(Calculations!$R$14:$R$16)/12</f>
        <v>266.6666666666667</v>
      </c>
      <c r="X75" s="46">
        <f>SUM(Calculations!$R$14:$R$16)/12</f>
        <v>266.6666666666667</v>
      </c>
      <c r="Y75" s="46">
        <f>SUM(Calculations!$R$14:$R$16)/12</f>
        <v>266.6666666666667</v>
      </c>
      <c r="Z75" s="46">
        <f>SUMIF($B$13:$Y$13,"Yes",B75:Y75)</f>
        <v>6400.000000000002</v>
      </c>
      <c r="AA75" s="46">
        <f>SUM(B75:M75)</f>
        <v>3200</v>
      </c>
      <c r="AB75" s="46">
        <f>SUM(B75:Y75)</f>
        <v>6400.000000000002</v>
      </c>
    </row>
    <row r="76" spans="1:30">
      <c r="A76" s="16" t="s">
        <v>48</v>
      </c>
      <c r="B76" s="46">
        <f>SUM(Calculations!$S$14:$S$16)/12</f>
        <v>1083.333333333333</v>
      </c>
      <c r="C76" s="46">
        <f>SUM(Calculations!$S$14:$S$16)/12</f>
        <v>1083.333333333333</v>
      </c>
      <c r="D76" s="46">
        <f>SUM(Calculations!$S$14:$S$16)/12</f>
        <v>1083.333333333333</v>
      </c>
      <c r="E76" s="46">
        <f>SUM(Calculations!$S$14:$S$16)/12</f>
        <v>1083.333333333333</v>
      </c>
      <c r="F76" s="46">
        <f>SUM(Calculations!$S$14:$S$16)/12</f>
        <v>1083.333333333333</v>
      </c>
      <c r="G76" s="46">
        <f>SUM(Calculations!$S$14:$S$16)/12</f>
        <v>1083.333333333333</v>
      </c>
      <c r="H76" s="46">
        <f>SUM(Calculations!$S$14:$S$16)/12</f>
        <v>1083.333333333333</v>
      </c>
      <c r="I76" s="46">
        <f>SUM(Calculations!$S$14:$S$16)/12</f>
        <v>1083.333333333333</v>
      </c>
      <c r="J76" s="46">
        <f>SUM(Calculations!$S$14:$S$16)/12</f>
        <v>1083.333333333333</v>
      </c>
      <c r="K76" s="46">
        <f>SUM(Calculations!$S$14:$S$16)/12</f>
        <v>1083.333333333333</v>
      </c>
      <c r="L76" s="46">
        <f>SUM(Calculations!$S$14:$S$16)/12</f>
        <v>1083.333333333333</v>
      </c>
      <c r="M76" s="46">
        <f>SUM(Calculations!$S$14:$S$16)/12</f>
        <v>1083.333333333333</v>
      </c>
      <c r="N76" s="46">
        <f>SUM(Calculations!$S$14:$S$16)/12</f>
        <v>1083.333333333333</v>
      </c>
      <c r="O76" s="46">
        <f>SUM(Calculations!$S$14:$S$16)/12</f>
        <v>1083.333333333333</v>
      </c>
      <c r="P76" s="46">
        <f>SUM(Calculations!$S$14:$S$16)/12</f>
        <v>1083.333333333333</v>
      </c>
      <c r="Q76" s="46">
        <f>SUM(Calculations!$S$14:$S$16)/12</f>
        <v>1083.333333333333</v>
      </c>
      <c r="R76" s="46">
        <f>SUM(Calculations!$S$14:$S$16)/12</f>
        <v>1083.333333333333</v>
      </c>
      <c r="S76" s="46">
        <f>SUM(Calculations!$S$14:$S$16)/12</f>
        <v>1083.333333333333</v>
      </c>
      <c r="T76" s="46">
        <f>SUM(Calculations!$S$14:$S$16)/12</f>
        <v>1083.333333333333</v>
      </c>
      <c r="U76" s="46">
        <f>SUM(Calculations!$S$14:$S$16)/12</f>
        <v>1083.333333333333</v>
      </c>
      <c r="V76" s="46">
        <f>SUM(Calculations!$S$14:$S$16)/12</f>
        <v>1083.333333333333</v>
      </c>
      <c r="W76" s="46">
        <f>SUM(Calculations!$S$14:$S$16)/12</f>
        <v>1083.333333333333</v>
      </c>
      <c r="X76" s="46">
        <f>SUM(Calculations!$S$14:$S$16)/12</f>
        <v>1083.333333333333</v>
      </c>
      <c r="Y76" s="46">
        <f>SUM(Calculations!$S$14:$S$16)/12</f>
        <v>1083.333333333333</v>
      </c>
      <c r="Z76" s="46">
        <f>SUMIF($B$13:$Y$13,"Yes",B76:Y76)</f>
        <v>25999.99999999999</v>
      </c>
      <c r="AA76" s="46">
        <f>SUM(B76:M76)</f>
        <v>13000</v>
      </c>
      <c r="AB76" s="46">
        <f>SUM(B76:Y76)</f>
        <v>25999.99999999999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95000</v>
      </c>
      <c r="C79" s="46">
        <f>Inputs!$B$31</f>
        <v>95000</v>
      </c>
      <c r="D79" s="46">
        <f>Inputs!$B$31</f>
        <v>95000</v>
      </c>
      <c r="E79" s="46">
        <f>Inputs!$B$31</f>
        <v>95000</v>
      </c>
      <c r="F79" s="46">
        <f>Inputs!$B$31</f>
        <v>95000</v>
      </c>
      <c r="G79" s="46">
        <f>Inputs!$B$31</f>
        <v>95000</v>
      </c>
      <c r="H79" s="46">
        <f>Inputs!$B$31</f>
        <v>95000</v>
      </c>
      <c r="I79" s="46">
        <f>Inputs!$B$31</f>
        <v>95000</v>
      </c>
      <c r="J79" s="46">
        <f>Inputs!$B$31</f>
        <v>95000</v>
      </c>
      <c r="K79" s="46">
        <f>Inputs!$B$31</f>
        <v>95000</v>
      </c>
      <c r="L79" s="46">
        <f>Inputs!$B$31</f>
        <v>95000</v>
      </c>
      <c r="M79" s="46">
        <f>Inputs!$B$31</f>
        <v>95000</v>
      </c>
      <c r="N79" s="46">
        <f>Inputs!$B$31</f>
        <v>95000</v>
      </c>
      <c r="O79" s="46">
        <f>Inputs!$B$31</f>
        <v>95000</v>
      </c>
      <c r="P79" s="46">
        <f>Inputs!$B$31</f>
        <v>95000</v>
      </c>
      <c r="Q79" s="46">
        <f>Inputs!$B$31</f>
        <v>95000</v>
      </c>
      <c r="R79" s="46">
        <f>Inputs!$B$31</f>
        <v>95000</v>
      </c>
      <c r="S79" s="46">
        <f>Inputs!$B$31</f>
        <v>95000</v>
      </c>
      <c r="T79" s="46">
        <f>Inputs!$B$31</f>
        <v>95000</v>
      </c>
      <c r="U79" s="46">
        <f>Inputs!$B$31</f>
        <v>95000</v>
      </c>
      <c r="V79" s="46">
        <f>Inputs!$B$31</f>
        <v>95000</v>
      </c>
      <c r="W79" s="46">
        <f>Inputs!$B$31</f>
        <v>95000</v>
      </c>
      <c r="X79" s="46">
        <f>Inputs!$B$31</f>
        <v>95000</v>
      </c>
      <c r="Y79" s="46">
        <f>Inputs!$B$31</f>
        <v>95000</v>
      </c>
      <c r="Z79" s="46">
        <f>SUMIF($B$13:$Y$13,"Yes",B79:Y79)</f>
        <v>2280000</v>
      </c>
      <c r="AA79" s="46">
        <f>SUM(B79:M79)</f>
        <v>1140000</v>
      </c>
      <c r="AB79" s="46">
        <f>SUM(B79:Y79)</f>
        <v>2280000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38110.04305915748</v>
      </c>
      <c r="C81" s="46">
        <f>(SUM($AA$18:$AA$29)-SUM($AA$36,$AA$42,$AA$48,$AA$54,$AA$60,$AA$66,$AA$72:$AA$79))*Parameters!$B$37/12</f>
        <v>38110.04305915748</v>
      </c>
      <c r="D81" s="46">
        <f>(SUM($AA$18:$AA$29)-SUM($AA$36,$AA$42,$AA$48,$AA$54,$AA$60,$AA$66,$AA$72:$AA$79))*Parameters!$B$37/12</f>
        <v>38110.04305915748</v>
      </c>
      <c r="E81" s="46">
        <f>(SUM($AA$18:$AA$29)-SUM($AA$36,$AA$42,$AA$48,$AA$54,$AA$60,$AA$66,$AA$72:$AA$79))*Parameters!$B$37/12</f>
        <v>38110.04305915748</v>
      </c>
      <c r="F81" s="46">
        <f>(SUM($AA$18:$AA$29)-SUM($AA$36,$AA$42,$AA$48,$AA$54,$AA$60,$AA$66,$AA$72:$AA$79))*Parameters!$B$37/12</f>
        <v>38110.04305915748</v>
      </c>
      <c r="G81" s="46">
        <f>(SUM($AA$18:$AA$29)-SUM($AA$36,$AA$42,$AA$48,$AA$54,$AA$60,$AA$66,$AA$72:$AA$79))*Parameters!$B$37/12</f>
        <v>38110.04305915748</v>
      </c>
      <c r="H81" s="46">
        <f>(SUM($AA$18:$AA$29)-SUM($AA$36,$AA$42,$AA$48,$AA$54,$AA$60,$AA$66,$AA$72:$AA$79))*Parameters!$B$37/12</f>
        <v>38110.04305915748</v>
      </c>
      <c r="I81" s="46">
        <f>(SUM($AA$18:$AA$29)-SUM($AA$36,$AA$42,$AA$48,$AA$54,$AA$60,$AA$66,$AA$72:$AA$79))*Parameters!$B$37/12</f>
        <v>38110.04305915748</v>
      </c>
      <c r="J81" s="46">
        <f>(SUM($AA$18:$AA$29)-SUM($AA$36,$AA$42,$AA$48,$AA$54,$AA$60,$AA$66,$AA$72:$AA$79))*Parameters!$B$37/12</f>
        <v>38110.04305915748</v>
      </c>
      <c r="K81" s="46">
        <f>(SUM($AA$18:$AA$29)-SUM($AA$36,$AA$42,$AA$48,$AA$54,$AA$60,$AA$66,$AA$72:$AA$79))*Parameters!$B$37/12</f>
        <v>38110.04305915748</v>
      </c>
      <c r="L81" s="46">
        <f>(SUM($AA$18:$AA$29)-SUM($AA$36,$AA$42,$AA$48,$AA$54,$AA$60,$AA$66,$AA$72:$AA$79))*Parameters!$B$37/12</f>
        <v>38110.04305915748</v>
      </c>
      <c r="M81" s="46">
        <f>(SUM($AA$18:$AA$29)-SUM($AA$36,$AA$42,$AA$48,$AA$54,$AA$60,$AA$66,$AA$72:$AA$79))*Parameters!$B$37/12</f>
        <v>38110.04305915748</v>
      </c>
      <c r="N81" s="46">
        <f>(SUM($AA$18:$AA$29)-SUM($AA$36,$AA$42,$AA$48,$AA$54,$AA$60,$AA$66,$AA$72:$AA$79))*Parameters!$B$37/12</f>
        <v>38110.04305915748</v>
      </c>
      <c r="O81" s="46">
        <f>(SUM($AA$18:$AA$29)-SUM($AA$36,$AA$42,$AA$48,$AA$54,$AA$60,$AA$66,$AA$72:$AA$79))*Parameters!$B$37/12</f>
        <v>38110.04305915748</v>
      </c>
      <c r="P81" s="46">
        <f>(SUM($AA$18:$AA$29)-SUM($AA$36,$AA$42,$AA$48,$AA$54,$AA$60,$AA$66,$AA$72:$AA$79))*Parameters!$B$37/12</f>
        <v>38110.04305915748</v>
      </c>
      <c r="Q81" s="46">
        <f>(SUM($AA$18:$AA$29)-SUM($AA$36,$AA$42,$AA$48,$AA$54,$AA$60,$AA$66,$AA$72:$AA$79))*Parameters!$B$37/12</f>
        <v>38110.04305915748</v>
      </c>
      <c r="R81" s="46">
        <f>(SUM($AA$18:$AA$29)-SUM($AA$36,$AA$42,$AA$48,$AA$54,$AA$60,$AA$66,$AA$72:$AA$79))*Parameters!$B$37/12</f>
        <v>38110.04305915748</v>
      </c>
      <c r="S81" s="46">
        <f>(SUM($AA$18:$AA$29)-SUM($AA$36,$AA$42,$AA$48,$AA$54,$AA$60,$AA$66,$AA$72:$AA$79))*Parameters!$B$37/12</f>
        <v>38110.04305915748</v>
      </c>
      <c r="T81" s="46">
        <f>(SUM($AA$18:$AA$29)-SUM($AA$36,$AA$42,$AA$48,$AA$54,$AA$60,$AA$66,$AA$72:$AA$79))*Parameters!$B$37/12</f>
        <v>38110.04305915748</v>
      </c>
      <c r="U81" s="46">
        <f>(SUM($AA$18:$AA$29)-SUM($AA$36,$AA$42,$AA$48,$AA$54,$AA$60,$AA$66,$AA$72:$AA$79))*Parameters!$B$37/12</f>
        <v>38110.04305915748</v>
      </c>
      <c r="V81" s="46">
        <f>(SUM($AA$18:$AA$29)-SUM($AA$36,$AA$42,$AA$48,$AA$54,$AA$60,$AA$66,$AA$72:$AA$79))*Parameters!$B$37/12</f>
        <v>38110.04305915748</v>
      </c>
      <c r="W81" s="46">
        <f>(SUM($AA$18:$AA$29)-SUM($AA$36,$AA$42,$AA$48,$AA$54,$AA$60,$AA$66,$AA$72:$AA$79))*Parameters!$B$37/12</f>
        <v>38110.04305915748</v>
      </c>
      <c r="X81" s="46">
        <f>(SUM($AA$18:$AA$29)-SUM($AA$36,$AA$42,$AA$48,$AA$54,$AA$60,$AA$66,$AA$72:$AA$79))*Parameters!$B$37/12</f>
        <v>38110.04305915748</v>
      </c>
      <c r="Y81" s="46">
        <f>(SUM($AA$18:$AA$29)-SUM($AA$36,$AA$42,$AA$48,$AA$54,$AA$60,$AA$66,$AA$72:$AA$79))*Parameters!$B$37/12</f>
        <v>38110.04305915748</v>
      </c>
      <c r="Z81" s="46">
        <f>SUMIF($B$13:$Y$13,"Yes",B81:Y81)</f>
        <v>914641.0334197792</v>
      </c>
      <c r="AA81" s="46">
        <f>SUM(B81:M81)</f>
        <v>457320.5167098898</v>
      </c>
      <c r="AB81" s="46">
        <f>SUM(B81:Y81)</f>
        <v>914641.0334197792</v>
      </c>
    </row>
    <row r="82" spans="1:30">
      <c r="A82" s="16" t="s">
        <v>52</v>
      </c>
      <c r="B82" s="46">
        <f>SUM(B83:B87)</f>
        <v>9549.716684155299</v>
      </c>
      <c r="C82" s="46">
        <f>SUM(C83:C87)</f>
        <v>9549.716684155299</v>
      </c>
      <c r="D82" s="46">
        <f>SUM(D83:D87)</f>
        <v>9549.716684155299</v>
      </c>
      <c r="E82" s="46">
        <f>SUM(E83:E87)</f>
        <v>9549.716684155299</v>
      </c>
      <c r="F82" s="46">
        <f>SUM(F83:F87)</f>
        <v>9549.716684155299</v>
      </c>
      <c r="G82" s="46">
        <f>SUM(G83:G87)</f>
        <v>9549.716684155299</v>
      </c>
      <c r="H82" s="46">
        <f>SUM(H83:H87)</f>
        <v>9549.716684155299</v>
      </c>
      <c r="I82" s="46">
        <f>SUM(I83:I87)</f>
        <v>9549.716684155299</v>
      </c>
      <c r="J82" s="46">
        <f>SUM(J83:J87)</f>
        <v>9549.716684155299</v>
      </c>
      <c r="K82" s="46">
        <f>SUM(K83:K87)</f>
        <v>9549.716684155299</v>
      </c>
      <c r="L82" s="46">
        <f>SUM(L83:L87)</f>
        <v>9549.716684155299</v>
      </c>
      <c r="M82" s="46">
        <f>SUM(M83:M87)</f>
        <v>9549.716684155299</v>
      </c>
      <c r="N82" s="46">
        <f>SUM(N83:N87)</f>
        <v>9549.716684155299</v>
      </c>
      <c r="O82" s="46">
        <f>SUM(O83:O87)</f>
        <v>9549.716684155299</v>
      </c>
      <c r="P82" s="46">
        <f>SUM(P83:P87)</f>
        <v>9549.716684155299</v>
      </c>
      <c r="Q82" s="46">
        <f>SUM(Q83:Q87)</f>
        <v>9549.716684155299</v>
      </c>
      <c r="R82" s="46">
        <f>SUM(R83:R87)</f>
        <v>9549.716684155299</v>
      </c>
      <c r="S82" s="46">
        <f>SUM(S83:S87)</f>
        <v>9549.716684155299</v>
      </c>
      <c r="T82" s="46">
        <f>SUM(T83:T87)</f>
        <v>9549.716684155299</v>
      </c>
      <c r="U82" s="46">
        <f>SUM(U83:U87)</f>
        <v>9549.716684155299</v>
      </c>
      <c r="V82" s="46">
        <f>SUM(V83:V87)</f>
        <v>9549.716684155299</v>
      </c>
      <c r="W82" s="46">
        <f>SUM(W83:W87)</f>
        <v>9549.716684155299</v>
      </c>
      <c r="X82" s="46">
        <f>SUM(X83:X87)</f>
        <v>9549.716684155299</v>
      </c>
      <c r="Y82" s="46">
        <f>SUM(Y83:Y87)</f>
        <v>9549.716684155299</v>
      </c>
      <c r="Z82" s="46">
        <f>SUMIF($B$13:$Y$13,"Yes",B82:Y82)</f>
        <v>229193.2004197273</v>
      </c>
      <c r="AA82" s="46">
        <f>SUM(B82:M82)</f>
        <v>114596.6002098636</v>
      </c>
      <c r="AB82" s="46">
        <f>SUM(B82:Y82)</f>
        <v>229193.2004197273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9549.716684155299</v>
      </c>
      <c r="C83" s="46">
        <f>IF(Calculations!$E23&gt;COUNT(Output!$B$35:C$35),Calculations!$B23,IF(Calculations!$E23=COUNT(Output!$B$35:C$35),Inputs!$B56-Calculations!$C23*(Calculations!$E23-1)+Calculations!$D23,0))</f>
        <v>9549.716684155299</v>
      </c>
      <c r="D83" s="46">
        <f>IF(Calculations!$E23&gt;COUNT(Output!$B$35:D$35),Calculations!$B23,IF(Calculations!$E23=COUNT(Output!$B$35:D$35),Inputs!$B56-Calculations!$C23*(Calculations!$E23-1)+Calculations!$D23,0))</f>
        <v>9549.716684155299</v>
      </c>
      <c r="E83" s="46">
        <f>IF(Calculations!$E23&gt;COUNT(Output!$B$35:E$35),Calculations!$B23,IF(Calculations!$E23=COUNT(Output!$B$35:E$35),Inputs!$B56-Calculations!$C23*(Calculations!$E23-1)+Calculations!$D23,0))</f>
        <v>9549.716684155299</v>
      </c>
      <c r="F83" s="46">
        <f>IF(Calculations!$E23&gt;COUNT(Output!$B$35:F$35),Calculations!$B23,IF(Calculations!$E23=COUNT(Output!$B$35:F$35),Inputs!$B56-Calculations!$C23*(Calculations!$E23-1)+Calculations!$D23,0))</f>
        <v>9549.716684155299</v>
      </c>
      <c r="G83" s="46">
        <f>IF(Calculations!$E23&gt;COUNT(Output!$B$35:G$35),Calculations!$B23,IF(Calculations!$E23=COUNT(Output!$B$35:G$35),Inputs!$B56-Calculations!$C23*(Calculations!$E23-1)+Calculations!$D23,0))</f>
        <v>9549.716684155299</v>
      </c>
      <c r="H83" s="46">
        <f>IF(Calculations!$E23&gt;COUNT(Output!$B$35:H$35),Calculations!$B23,IF(Calculations!$E23=COUNT(Output!$B$35:H$35),Inputs!$B56-Calculations!$C23*(Calculations!$E23-1)+Calculations!$D23,0))</f>
        <v>9549.716684155299</v>
      </c>
      <c r="I83" s="46">
        <f>IF(Calculations!$E23&gt;COUNT(Output!$B$35:I$35),Calculations!$B23,IF(Calculations!$E23=COUNT(Output!$B$35:I$35),Inputs!$B56-Calculations!$C23*(Calculations!$E23-1)+Calculations!$D23,0))</f>
        <v>9549.716684155299</v>
      </c>
      <c r="J83" s="46">
        <f>IF(Calculations!$E23&gt;COUNT(Output!$B$35:J$35),Calculations!$B23,IF(Calculations!$E23=COUNT(Output!$B$35:J$35),Inputs!$B56-Calculations!$C23*(Calculations!$E23-1)+Calculations!$D23,0))</f>
        <v>9549.716684155299</v>
      </c>
      <c r="K83" s="46">
        <f>IF(Calculations!$E23&gt;COUNT(Output!$B$35:K$35),Calculations!$B23,IF(Calculations!$E23=COUNT(Output!$B$35:K$35),Inputs!$B56-Calculations!$C23*(Calculations!$E23-1)+Calculations!$D23,0))</f>
        <v>9549.716684155299</v>
      </c>
      <c r="L83" s="46">
        <f>IF(Calculations!$E23&gt;COUNT(Output!$B$35:L$35),Calculations!$B23,IF(Calculations!$E23=COUNT(Output!$B$35:L$35),Inputs!$B56-Calculations!$C23*(Calculations!$E23-1)+Calculations!$D23,0))</f>
        <v>9549.716684155299</v>
      </c>
      <c r="M83" s="46">
        <f>IF(Calculations!$E23&gt;COUNT(Output!$B$35:M$35),Calculations!$B23,IF(Calculations!$E23=COUNT(Output!$B$35:M$35),Inputs!$B56-Calculations!$C23*(Calculations!$E23-1)+Calculations!$D23,0))</f>
        <v>9549.716684155299</v>
      </c>
      <c r="N83" s="46">
        <f>IF(Calculations!$E23&gt;COUNT(Output!$B$35:N$35),Calculations!$B23,IF(Calculations!$E23=COUNT(Output!$B$35:N$35),Inputs!$B56-Calculations!$C23*(Calculations!$E23-1)+Calculations!$D23,0))</f>
        <v>9549.716684155299</v>
      </c>
      <c r="O83" s="46">
        <f>IF(Calculations!$E23&gt;COUNT(Output!$B$35:O$35),Calculations!$B23,IF(Calculations!$E23=COUNT(Output!$B$35:O$35),Inputs!$B56-Calculations!$C23*(Calculations!$E23-1)+Calculations!$D23,0))</f>
        <v>9549.716684155299</v>
      </c>
      <c r="P83" s="46">
        <f>IF(Calculations!$E23&gt;COUNT(Output!$B$35:P$35),Calculations!$B23,IF(Calculations!$E23=COUNT(Output!$B$35:P$35),Inputs!$B56-Calculations!$C23*(Calculations!$E23-1)+Calculations!$D23,0))</f>
        <v>9549.716684155299</v>
      </c>
      <c r="Q83" s="46">
        <f>IF(Calculations!$E23&gt;COUNT(Output!$B$35:Q$35),Calculations!$B23,IF(Calculations!$E23=COUNT(Output!$B$35:Q$35),Inputs!$B56-Calculations!$C23*(Calculations!$E23-1)+Calculations!$D23,0))</f>
        <v>9549.716684155299</v>
      </c>
      <c r="R83" s="46">
        <f>IF(Calculations!$E23&gt;COUNT(Output!$B$35:R$35),Calculations!$B23,IF(Calculations!$E23=COUNT(Output!$B$35:R$35),Inputs!$B56-Calculations!$C23*(Calculations!$E23-1)+Calculations!$D23,0))</f>
        <v>9549.716684155299</v>
      </c>
      <c r="S83" s="46">
        <f>IF(Calculations!$E23&gt;COUNT(Output!$B$35:S$35),Calculations!$B23,IF(Calculations!$E23=COUNT(Output!$B$35:S$35),Inputs!$B56-Calculations!$C23*(Calculations!$E23-1)+Calculations!$D23,0))</f>
        <v>9549.716684155299</v>
      </c>
      <c r="T83" s="46">
        <f>IF(Calculations!$E23&gt;COUNT(Output!$B$35:T$35),Calculations!$B23,IF(Calculations!$E23=COUNT(Output!$B$35:T$35),Inputs!$B56-Calculations!$C23*(Calculations!$E23-1)+Calculations!$D23,0))</f>
        <v>9549.716684155299</v>
      </c>
      <c r="U83" s="46">
        <f>IF(Calculations!$E23&gt;COUNT(Output!$B$35:U$35),Calculations!$B23,IF(Calculations!$E23=COUNT(Output!$B$35:U$35),Inputs!$B56-Calculations!$C23*(Calculations!$E23-1)+Calculations!$D23,0))</f>
        <v>9549.716684155299</v>
      </c>
      <c r="V83" s="46">
        <f>IF(Calculations!$E23&gt;COUNT(Output!$B$35:V$35),Calculations!$B23,IF(Calculations!$E23=COUNT(Output!$B$35:V$35),Inputs!$B56-Calculations!$C23*(Calculations!$E23-1)+Calculations!$D23,0))</f>
        <v>9549.716684155299</v>
      </c>
      <c r="W83" s="46">
        <f>IF(Calculations!$E23&gt;COUNT(Output!$B$35:W$35),Calculations!$B23,IF(Calculations!$E23=COUNT(Output!$B$35:W$35),Inputs!$B56-Calculations!$C23*(Calculations!$E23-1)+Calculations!$D23,0))</f>
        <v>9549.716684155299</v>
      </c>
      <c r="X83" s="46">
        <f>IF(Calculations!$E23&gt;COUNT(Output!$B$35:X$35),Calculations!$B23,IF(Calculations!$E23=COUNT(Output!$B$35:X$35),Inputs!$B56-Calculations!$C23*(Calculations!$E23-1)+Calculations!$D23,0))</f>
        <v>9549.716684155299</v>
      </c>
      <c r="Y83" s="46">
        <f>IF(Calculations!$E23&gt;COUNT(Output!$B$35:Y$35),Calculations!$B23,IF(Calculations!$E23=COUNT(Output!$B$35:Y$35),Inputs!$B56-Calculations!$C23*(Calculations!$E23-1)+Calculations!$D23,0))</f>
        <v>9549.716684155299</v>
      </c>
      <c r="Z83" s="46">
        <f>SUMIF($B$13:$Y$13,"Yes",B83:Y83)</f>
        <v>229193.2004197273</v>
      </c>
      <c r="AA83" s="46">
        <f>SUM(B83:M83)</f>
        <v>114596.6002098636</v>
      </c>
      <c r="AB83" s="46">
        <f>SUM(B83:Y83)</f>
        <v>229193.2004197273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148431.6347433128</v>
      </c>
      <c r="C88" s="19">
        <f>SUM(C72:C82,C66,C60,C54,C48,C42,C36)</f>
        <v>148431.6347433128</v>
      </c>
      <c r="D88" s="19">
        <f>SUM(D72:D82,D66,D60,D54,D48,D42,D36)</f>
        <v>148431.6347433128</v>
      </c>
      <c r="E88" s="19">
        <f>SUM(E72:E82,E66,E60,E54,E48,E42,E36)</f>
        <v>148431.6347433128</v>
      </c>
      <c r="F88" s="19">
        <f>SUM(F72:F82,F66,F60,F54,F48,F42,F36)</f>
        <v>148431.6347433128</v>
      </c>
      <c r="G88" s="19">
        <f>SUM(G72:G82,G66,G60,G54,G48,G42,G36)</f>
        <v>148431.6347433128</v>
      </c>
      <c r="H88" s="19">
        <f>SUM(H72:H82,H66,H60,H54,H48,H42,H36)</f>
        <v>148431.6347433128</v>
      </c>
      <c r="I88" s="19">
        <f>SUM(I72:I82,I66,I60,I54,I48,I42,I36)</f>
        <v>148431.6347433128</v>
      </c>
      <c r="J88" s="19">
        <f>SUM(J72:J82,J66,J60,J54,J48,J42,J36)</f>
        <v>148431.6347433128</v>
      </c>
      <c r="K88" s="19">
        <f>SUM(K72:K82,K66,K60,K54,K48,K42,K36)</f>
        <v>148431.6347433128</v>
      </c>
      <c r="L88" s="19">
        <f>SUM(L72:L82,L66,L60,L54,L48,L42,L36)</f>
        <v>148431.6347433128</v>
      </c>
      <c r="M88" s="19">
        <f>SUM(M72:M82,M66,M60,M54,M48,M42,M36)</f>
        <v>148431.6347433128</v>
      </c>
      <c r="N88" s="19">
        <f>SUM(N72:N82,N66,N60,N54,N48,N42,N36)</f>
        <v>148431.6347433128</v>
      </c>
      <c r="O88" s="19">
        <f>SUM(O72:O82,O66,O60,O54,O48,O42,O36)</f>
        <v>148431.6347433128</v>
      </c>
      <c r="P88" s="19">
        <f>SUM(P72:P82,P66,P60,P54,P48,P42,P36)</f>
        <v>148431.6347433128</v>
      </c>
      <c r="Q88" s="19">
        <f>SUM(Q72:Q82,Q66,Q60,Q54,Q48,Q42,Q36)</f>
        <v>148431.6347433128</v>
      </c>
      <c r="R88" s="19">
        <f>SUM(R72:R82,R66,R60,R54,R48,R42,R36)</f>
        <v>148431.6347433128</v>
      </c>
      <c r="S88" s="19">
        <f>SUM(S72:S82,S66,S60,S54,S48,S42,S36)</f>
        <v>148431.6347433128</v>
      </c>
      <c r="T88" s="19">
        <f>SUM(T72:T82,T66,T60,T54,T48,T42,T36)</f>
        <v>148431.6347433128</v>
      </c>
      <c r="U88" s="19">
        <f>SUM(U72:U82,U66,U60,U54,U48,U42,U36)</f>
        <v>148431.6347433128</v>
      </c>
      <c r="V88" s="19">
        <f>SUM(V72:V82,V66,V60,V54,V48,V42,V36)</f>
        <v>148431.6347433128</v>
      </c>
      <c r="W88" s="19">
        <f>SUM(W72:W82,W66,W60,W54,W48,W42,W36)</f>
        <v>148431.6347433128</v>
      </c>
      <c r="X88" s="19">
        <f>SUM(X72:X82,X66,X60,X54,X48,X42,X36)</f>
        <v>148431.6347433128</v>
      </c>
      <c r="Y88" s="19">
        <f>SUM(Y72:Y82,Y66,Y60,Y54,Y48,Y42,Y36)</f>
        <v>148431.6347433128</v>
      </c>
      <c r="Z88" s="19">
        <f>SUMIF($B$13:$Y$13,"Yes",B88:Y88)</f>
        <v>3562359.233839508</v>
      </c>
      <c r="AA88" s="19">
        <f>SUM(B88:M88)</f>
        <v>1781179.616919754</v>
      </c>
      <c r="AB88" s="19">
        <f>SUM(B88:Y88)</f>
        <v>3562359.233839508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225000</v>
      </c>
    </row>
    <row r="96" spans="1:30">
      <c r="A96" t="s">
        <v>62</v>
      </c>
      <c r="B96" s="36">
        <f>SUMPRODUCT(Inputs!C19:C21,Calculations!O14:O16)</f>
        <v>406250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195000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6151250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171354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473354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 t="s">
        <v>114</v>
      </c>
      <c r="B20" s="16"/>
      <c r="C20" s="143">
        <v>25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60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144000</v>
      </c>
    </row>
    <row r="31" spans="1:48">
      <c r="A31" s="5" t="s">
        <v>122</v>
      </c>
      <c r="B31" s="158">
        <v>95000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1800000</v>
      </c>
    </row>
    <row r="46" spans="1:48" customHeight="1" ht="30">
      <c r="A46" s="57" t="s">
        <v>136</v>
      </c>
      <c r="B46" s="161">
        <v>195000</v>
      </c>
    </row>
    <row r="47" spans="1:48" customHeight="1" ht="30">
      <c r="A47" s="57" t="s">
        <v>137</v>
      </c>
      <c r="B47" s="161">
        <v>225000</v>
      </c>
    </row>
    <row r="48" spans="1:48" customHeight="1" ht="30">
      <c r="A48" s="57" t="s">
        <v>138</v>
      </c>
      <c r="B48" s="161">
        <v>3500000</v>
      </c>
    </row>
    <row r="49" spans="1:48" customHeight="1" ht="30">
      <c r="A49" s="57" t="s">
        <v>139</v>
      </c>
      <c r="B49" s="161">
        <v>25000</v>
      </c>
    </row>
    <row r="50" spans="1:48">
      <c r="A50" s="43"/>
      <c r="B50" s="36"/>
    </row>
    <row r="51" spans="1:48">
      <c r="A51" s="58" t="s">
        <v>140</v>
      </c>
      <c r="B51" s="161">
        <v>2000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300000</v>
      </c>
      <c r="B56" s="159">
        <v>171354</v>
      </c>
      <c r="C56" s="162" t="s">
        <v>148</v>
      </c>
      <c r="D56" s="163" t="s">
        <v>149</v>
      </c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150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150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150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150</v>
      </c>
      <c r="D60" s="167"/>
      <c r="E60" s="167" t="s">
        <v>92</v>
      </c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152</v>
      </c>
      <c r="C65" s="10" t="s">
        <v>153</v>
      </c>
    </row>
    <row r="66" spans="1:48">
      <c r="A66" s="142" t="s">
        <v>154</v>
      </c>
      <c r="B66" s="159">
        <v>153250</v>
      </c>
      <c r="C66" s="163">
        <v>119653</v>
      </c>
      <c r="D66" s="49">
        <f>INDEX(Parameters!$D$79:$D$90,MATCH(Inputs!A66,Parameters!$C$79:$C$90,0))</f>
        <v>11</v>
      </c>
    </row>
    <row r="67" spans="1:48">
      <c r="A67" s="143" t="s">
        <v>155</v>
      </c>
      <c r="B67" s="157">
        <v>567317</v>
      </c>
      <c r="C67" s="165">
        <v>515567</v>
      </c>
      <c r="D67" s="49">
        <f>INDEX(Parameters!$D$79:$D$90,MATCH(Inputs!A67,Parameters!$C$79:$C$90,0))</f>
        <v>10</v>
      </c>
    </row>
    <row r="68" spans="1:48">
      <c r="A68" s="143" t="s">
        <v>156</v>
      </c>
      <c r="B68" s="157">
        <v>492650</v>
      </c>
      <c r="C68" s="165">
        <v>501956</v>
      </c>
      <c r="D68" s="49">
        <f>INDEX(Parameters!$D$79:$D$90,MATCH(Inputs!A68,Parameters!$C$79:$C$90,0))</f>
        <v>9</v>
      </c>
    </row>
    <row r="69" spans="1:48">
      <c r="A69" s="143" t="s">
        <v>157</v>
      </c>
      <c r="B69" s="157">
        <v>401793</v>
      </c>
      <c r="C69" s="165">
        <v>394793</v>
      </c>
      <c r="D69" s="49">
        <f>INDEX(Parameters!$D$79:$D$90,MATCH(Inputs!A69,Parameters!$C$79:$C$90,0))</f>
        <v>8</v>
      </c>
    </row>
    <row r="70" spans="1:48">
      <c r="A70" s="143" t="s">
        <v>158</v>
      </c>
      <c r="B70" s="157">
        <v>657140</v>
      </c>
      <c r="C70" s="165">
        <v>615558</v>
      </c>
      <c r="D70" s="49">
        <f>INDEX(Parameters!$D$79:$D$90,MATCH(Inputs!A70,Parameters!$C$79:$C$90,0))</f>
        <v>7</v>
      </c>
    </row>
    <row r="71" spans="1:48">
      <c r="A71" s="144" t="s">
        <v>159</v>
      </c>
      <c r="B71" s="158">
        <v>379090</v>
      </c>
      <c r="C71" s="167">
        <v>357527</v>
      </c>
      <c r="D71" s="49">
        <f>INDEX(Parameters!$D$79:$D$90,MATCH(Inputs!A71,Parameters!$C$79:$C$90,0))</f>
        <v>6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23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462.4865153429052</v>
      </c>
      <c r="M4" s="25">
        <f>L4*H4</f>
        <v>924.9730306858104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41438.7917747243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20000</v>
      </c>
      <c r="AC4" s="60">
        <f>IF($A4=0,1/12,IFERROR(INDEX(Parameters!$X$2:$AI$17,MATCH(Calculations!$A4,Parameters!$A$2:$A$17,0),MONTH(Calculations!AC$3)),1/12))</f>
        <v>0.1025641025641026</v>
      </c>
      <c r="AD4" s="60">
        <f>IF($A4=0,1/12,IFERROR(INDEX(Parameters!$X$2:$AI$17,MATCH(Calculations!$A4,Parameters!$A$2:$A$17,0),MONTH(Calculations!AD$3)),1/12))</f>
        <v>0.1282051282051282</v>
      </c>
      <c r="AE4" s="60">
        <f>IF($A4=0,1/12,IFERROR(INDEX(Parameters!$X$2:$AI$17,MATCH(Calculations!$A4,Parameters!$A$2:$A$17,0),MONTH(Calculations!AE$3)),1/12))</f>
        <v>0.1282051282051282</v>
      </c>
      <c r="AF4" s="60">
        <f>IF($A4=0,1/12,IFERROR(INDEX(Parameters!$X$2:$AI$17,MATCH(Calculations!$A4,Parameters!$A$2:$A$17,0),MONTH(Calculations!AF$3)),1/12))</f>
        <v>0.1282051282051282</v>
      </c>
      <c r="AG4" s="60">
        <f>IF($A4=0,1/12,IFERROR(INDEX(Parameters!$X$2:$AI$17,MATCH(Calculations!$A4,Parameters!$A$2:$A$17,0),MONTH(Calculations!AG$3)),1/12))</f>
        <v>0.1025641025641026</v>
      </c>
      <c r="AH4" s="60">
        <f>IF($A4=0,1/12,IFERROR(INDEX(Parameters!$X$2:$AI$17,MATCH(Calculations!$A4,Parameters!$A$2:$A$17,0),MONTH(Calculations!AH$3)),1/12))</f>
        <v>0.05128205128205128</v>
      </c>
      <c r="AI4" s="60">
        <f>IF($A4=0,1/12,IFERROR(INDEX(Parameters!$X$2:$AI$17,MATCH(Calculations!$A4,Parameters!$A$2:$A$17,0),MONTH(Calculations!AI$3)),1/12))</f>
        <v>0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0.1282051282051282</v>
      </c>
      <c r="AL4" s="60">
        <f>IF($A4=0,1/12,IFERROR(INDEX(Parameters!$X$2:$AI$17,MATCH(Calculations!$A4,Parameters!$A$2:$A$17,0),MONTH(Calculations!AL$3)),1/12))</f>
        <v>0.05128205128205128</v>
      </c>
      <c r="AM4" s="60">
        <f>IF($A4=0,1/12,IFERROR(INDEX(Parameters!$X$2:$AI$17,MATCH(Calculations!$A4,Parameters!$A$2:$A$17,0),MONTH(Calculations!AM$3)),1/12))</f>
        <v>0</v>
      </c>
      <c r="AN4" s="60">
        <f>IF($A4=0,1/12,IFERROR(INDEX(Parameters!$X$2:$AI$17,MATCH(Calculations!$A4,Parameters!$A$2:$A$17,0),MONTH(Calculations!AN$3)),1/12))</f>
        <v>0.05128205128205128</v>
      </c>
      <c r="AO4" s="60">
        <f>IF($A4=0,1/12,IFERROR(INDEX(Parameters!$X$2:$AI$17,MATCH(Calculations!$A4,Parameters!$A$2:$A$17,0),MONTH(Calculations!AO$3)),1/12))</f>
        <v>0.1025641025641026</v>
      </c>
      <c r="AP4" s="60">
        <f>IF($A4=0,1/12,IFERROR(INDEX(Parameters!$X$2:$AI$17,MATCH(Calculations!$A4,Parameters!$A$2:$A$17,0),MONTH(Calculations!AP$3)),1/12))</f>
        <v>0.1282051282051282</v>
      </c>
      <c r="AQ4" s="60">
        <f>IF($A4=0,1/12,IFERROR(INDEX(Parameters!$X$2:$AI$17,MATCH(Calculations!$A4,Parameters!$A$2:$A$17,0),MONTH(Calculations!AQ$3)),1/12))</f>
        <v>0.1282051282051282</v>
      </c>
      <c r="AR4" s="60">
        <f>IF($A4=0,1/12,IFERROR(INDEX(Parameters!$X$2:$AI$17,MATCH(Calculations!$A4,Parameters!$A$2:$A$17,0),MONTH(Calculations!AR$3)),1/12))</f>
        <v>0.1282051282051282</v>
      </c>
      <c r="AS4" s="60">
        <f>IF($A4=0,1/12,IFERROR(INDEX(Parameters!$X$2:$AI$17,MATCH(Calculations!$A4,Parameters!$A$2:$A$17,0),MONTH(Calculations!AS$3)),1/12))</f>
        <v>0.1025641025641026</v>
      </c>
      <c r="AT4" s="60">
        <f>IF($A4=0,1/12,IFERROR(INDEX(Parameters!$X$2:$AI$17,MATCH(Calculations!$A4,Parameters!$A$2:$A$17,0),MONTH(Calculations!AT$3)),1/12))</f>
        <v>0.05128205128205128</v>
      </c>
      <c r="AU4" s="60">
        <f>IF($A4=0,1/12,IFERROR(INDEX(Parameters!$X$2:$AI$17,MATCH(Calculations!$A4,Parameters!$A$2:$A$17,0),MONTH(Calculations!AU$3)),1/12))</f>
        <v>0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0.1282051282051282</v>
      </c>
      <c r="AX4" s="60">
        <f>IF($A4=0,1/12,IFERROR(INDEX(Parameters!$X$2:$AI$17,MATCH(Calculations!$A4,Parameters!$A$2:$A$17,0),MONTH(Calculations!AX$3)),1/12))</f>
        <v>0.05128205128205128</v>
      </c>
      <c r="AY4" s="60">
        <f>IF($A4=0,1/12,IFERROR(INDEX(Parameters!$X$2:$AI$17,MATCH(Calculations!$A4,Parameters!$A$2:$A$17,0),MONTH(Calculations!AY$3)),1/12))</f>
        <v>0</v>
      </c>
      <c r="AZ4" s="60">
        <f>IF($A4=0,1/12,IFERROR(INDEX(Parameters!$X$2:$AI$17,MATCH(Calculations!$A4,Parameters!$A$2:$A$17,0),MONTH(Calculations!AZ$3)),1/12))</f>
        <v>0.05128205128205128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63000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300000</v>
      </c>
      <c r="B23" s="75">
        <f>SUM(C23:D23)</f>
        <v>9549.716684155299</v>
      </c>
      <c r="C23" s="75">
        <f>IF(Inputs!B56&gt;0,(Inputs!A56-Inputs!B56)/(DATE(YEAR(Inputs!$B$76),MONTH(Inputs!$B$76),DAY(Inputs!$B$76))-DATE(YEAR(Inputs!C56),MONTH(Inputs!C56),DAY(Inputs!C56)))*30,0)</f>
        <v>4049.716684155299</v>
      </c>
      <c r="D23" s="75">
        <f>IF(Inputs!B56&gt;0,Inputs!A56*0.22/12,0)</f>
        <v>5500</v>
      </c>
      <c r="E23" s="75">
        <f>IFERROR(ROUNDUP(Inputs!B56/C23,0),0)</f>
        <v>43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43132</v>
      </c>
      <c r="F35" t="s">
        <v>168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43221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43313</v>
      </c>
      <c r="F41" t="s">
        <v>232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114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114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317</v>
      </c>
      <c r="H52" s="12" t="s">
        <v>318</v>
      </c>
      <c r="I52" s="12" t="s">
        <v>133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115</v>
      </c>
      <c r="H78" s="12" t="s">
        <v>133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113</v>
      </c>
      <c r="I79" s="12" t="s">
        <v>171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97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