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<sst xmlns="http://schemas.openxmlformats.org/spreadsheetml/2006/main" uniqueCount="368">
  <si>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</si>
  <si>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</si>
  <si>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</si>
  <si>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</si>
  <si>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</si>
  <si>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</si>
  <si>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</si>
  <si>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</si>
  <si>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</si>
  <si>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</si>
  <si>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</si>
  <si>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</si>
  <si>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</si>
  <si>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</si>
  <si>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</si>
  <si>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</si>
  <si>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</si>
  <si>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</si>
  <si>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</si>
  <si>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</si>
  <si>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</si>
  <si>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</si>
  <si>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</si>
  <si>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</si>
  <si>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</si>
  <si>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</si>
  <si>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</si>
  <si>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</si>
  <si>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</si>
  <si>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</si>
  <si>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</si>
  <si>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</si>
  <si>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</si>
  <si>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</si>
  <si>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</si>
  <si>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</si>
  <si>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</si>
  <si>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</si>
  <si>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</si>
  <si>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</si>
  <si>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</si>
  <si>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</si>
  <si>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</si>
  <si>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</si>
  <si>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</si>
  <si>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</si>
  <si>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</si>
  <si>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</si>
  <si>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</si>
  <si>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</si>
  <si>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</si>
  <si>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</si>
  <si>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</si>
  <si>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</si>
  <si>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</si>
  <si>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</si>
  <si>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</si>
  <si>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</si>
  <si>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</si>
  <si>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</si>
  <si>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</si>
  <si>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</si>
  <si>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</si>
  <si>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</si>
  <si>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</si>
  <si>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</si>
  <si>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</si>
  <si>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</si>
  <si>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</si>
  <si>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</si>
  <si>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</si>
  <si>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</si>
  <si>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</si>
  <si>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</si>
  <si>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</si>
  <si>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</si>
  <si>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</si>
  <si>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</si>
  <si>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</si>
  <si>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</si>
  <si>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</si>
  <si>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</si>
  <si>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</si>
  <si>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</si>
  <si>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</si>
  <si>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</si>
  <si>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</si>
  <si>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</si>
  <si>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</si>
  <si>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</si>
  <si>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Shop_certified variety</t>
  </si>
  <si>
    <t>Yes both manure and inorganic</t>
  </si>
  <si>
    <t>Yes</t>
  </si>
  <si>
    <t>Yes using a diesel pump</t>
  </si>
  <si>
    <t>March</t>
  </si>
  <si>
    <t>Tomatoes</t>
  </si>
  <si>
    <t>December</t>
  </si>
  <si>
    <t>Potatoes</t>
  </si>
  <si>
    <t>November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</si>
  <si>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</si>
  <si>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</si>
  <si>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</si>
  <si>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</si>
  <si>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</si>
  <si>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</si>
  <si>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</si>
  <si>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</si>
  <si>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</si>
  <si>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</si>
  <si>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</si>
  <si>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</si>
  <si>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</si>
  <si>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</si>
  <si>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</si>
  <si>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</si>
  <si>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</si>
  <si>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Fencing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</si>
  <si>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</si>
  <si>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</si>
  <si>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</si>
  <si>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</si>
  <si>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</si>
  <si>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</si>
  <si>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</si>
  <si>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</si>
  <si>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</si>
  <si>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</si>
  <si>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</si>
  <si>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</si>
  <si>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January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</si>
  <si>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</si>
  <si>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</si>
  <si>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</si>
  <si>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</si>
  <si>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</si>
  <si>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</si>
  <si>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</si>
  <si>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</si>
  <si>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</si>
  <si>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</si>
  <si>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</si>
  <si>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</si>
  <si>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</si>
  <si>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</si>
  <si>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</si>
  <si>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</si>
  <si>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11/6/2017</t>
  </si>
  <si>
    <t>Mshwari</t>
  </si>
  <si>
    <t>ok</t>
  </si>
  <si>
    <t>Mpesa &amp; bank cash flows (from past statements)</t>
  </si>
  <si>
    <t>Cash inflows</t>
  </si>
  <si>
    <t>Cash outflows</t>
  </si>
  <si>
    <t>October</t>
  </si>
  <si>
    <t>February</t>
  </si>
  <si>
    <t>Loan info</t>
  </si>
  <si>
    <t>Branch ID</t>
  </si>
  <si>
    <t>Submission date</t>
  </si>
  <si>
    <t>2017/11/21</t>
  </si>
  <si>
    <t>Loan terms</t>
  </si>
  <si>
    <t>Expected disbursement date</t>
  </si>
  <si>
    <t>Expected first repayment date</t>
  </si>
  <si>
    <t>2018/1/1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</si>
  <si>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</si>
  <si>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</si>
  <si>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</si>
  <si>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</si>
  <si>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</si>
  <si>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</si>
  <si>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</si>
  <si>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</si>
  <si>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</si>
  <si>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</si>
  <si>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</si>
  <si>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</si>
  <si>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</si>
  <si>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</si>
  <si>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</si>
  <si>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</si>
  <si>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</si>
  <si>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</si>
  <si>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</si>
  <si>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</si>
  <si>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</si>
  <si>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</si>
  <si>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</si>
  <si>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</si>
  <si>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</si>
  <si>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</si>
  <si>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</si>
  <si>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</si>
  <si>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</si>
  <si>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</si>
  <si>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</si>
  <si>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</si>
  <si>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</si>
  <si>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</si>
  <si>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</si>
  <si>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</si>
  <si>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</si>
  <si>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</si>
  <si>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</si>
  <si>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</si>
  <si>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</si>
  <si>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</si>
  <si>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</si>
  <si>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</si>
  <si>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</si>
  <si>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</si>
  <si>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</si>
  <si>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</si>
  <si>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</si>
  <si>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</si>
  <si>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</si>
  <si>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</si>
  <si>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</si>
  <si>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</si>
  <si>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</si>
  <si>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</si>
  <si>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</si>
  <si>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</si>
  <si>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</si>
  <si>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</si>
  <si>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</si>
  <si>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</si>
  <si>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</si>
  <si>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</si>
  <si>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</si>
  <si>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</si>
  <si>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</si>
  <si>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</si>
  <si>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</si>
  <si>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</si>
  <si>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</si>
  <si>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</si>
  <si>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</si>
  <si>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</si>
  <si>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</si>
  <si>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</si>
  <si>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</si>
  <si>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</si>
  <si>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</si>
  <si>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</si>
  <si>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</si>
  <si>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</si>
  <si>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</si>
  <si>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</si>
  <si>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</si>
  <si>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</si>
  <si>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</si>
  <si>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</si>
  <si>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</si>
  <si>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</si>
  <si>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</si>
  <si>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</si>
  <si>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</si>
  <si>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</si>
  <si>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</si>
  <si>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</si>
  <si>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</si>
  <si>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</si>
  <si>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</si>
  <si>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</si>
  <si>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</si>
  <si>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</si>
  <si>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</si>
  <si>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</si>
  <si>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</si>
  <si>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</si>
  <si>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</si>
  <si>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</si>
  <si>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</si>
  <si>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</si>
  <si>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</si>
  <si>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</si>
  <si>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</si>
  <si>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</si>
  <si>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</si>
  <si>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</si>
  <si>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</si>
  <si>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</si>
  <si>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</si>
  <si>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</si>
  <si>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</si>
  <si>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</si>
  <si>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</si>
  <si>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</si>
  <si>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</si>
  <si>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</si>
  <si>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</si>
  <si>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</si>
  <si>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</si>
  <si>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</si>
  <si>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</si>
  <si>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</si>
  <si>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</si>
  <si>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</si>
  <si>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</si>
  <si>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</si>
  <si>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</si>
  <si>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</si>
  <si>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</si>
  <si>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</si>
  <si>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</si>
  <si>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</si>
  <si>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</si>
  <si>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</si>
  <si>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</si>
  <si>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</si>
  <si>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</si>
  <si>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</si>
  <si>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</si>
  <si>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</si>
  <si>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</si>
  <si>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</si>
  <si>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</si>
  <si>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</si>
  <si>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</si>
  <si>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</si>
  <si>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</si>
  <si>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</si>
  <si>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</si>
  <si>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</si>
  <si>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</si>
  <si>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</si>
  <si>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</si>
  <si>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</si>
  <si>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</si>
  <si>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</si>
  <si>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</si>
  <si>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</si>
  <si>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</si>
  <si>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</si>
  <si>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</si>
  <si>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</si>
  <si>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</si>
  <si>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</si>
  <si>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</si>
  <si>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</si>
  <si>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</si>
  <si>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</si>
  <si>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</si>
  <si>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</si>
  <si>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</si>
  <si>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</si>
  <si>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</si>
  <si>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</si>
  <si>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</si>
  <si>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</si>
  <si>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</si>
  <si>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</si>
  <si>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</si>
  <si>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</si>
  <si>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</si>
  <si>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</si>
  <si>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</si>
  <si>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</si>
  <si>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</si>
  <si>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</si>
  <si>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</si>
  <si>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</si>
  <si>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without the use of a pump</t>
  </si>
  <si>
    <t>NGO</t>
  </si>
  <si>
    <t>April</t>
  </si>
  <si>
    <t>May</t>
  </si>
  <si>
    <t>June</t>
  </si>
  <si>
    <t>July</t>
  </si>
  <si>
    <t>August</t>
  </si>
  <si>
    <t>September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</si>
</sst>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March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Tomatoes, Potatoes,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Fencing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0.2444974280026052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0.3723076923076923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418421.4642584863</v>
      </c>
    </row>
    <row r="18" spans="1:7">
      <c r="B18" s="1" t="s">
        <v>12</v>
      </c>
      <c r="C18" s="36">
        <f>MIN(Output!B6:M6)</f>
        <v>-29106.28459695521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137706.4546859349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April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2500</v>
      </c>
    </row>
    <row r="25" spans="1:7">
      <c r="B25" s="1" t="s">
        <v>18</v>
      </c>
      <c r="C25" s="36">
        <f>MAX(Inputs!A56:A60)</f>
        <v>2500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1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-17181.28459695521</v>
      </c>
      <c r="C6" s="51">
        <f>C30-C88</f>
        <v>-11081.28459695521</v>
      </c>
      <c r="D6" s="51">
        <f>D30-D88</f>
        <v>-29106.28459695521</v>
      </c>
      <c r="E6" s="51">
        <f>E30-E88</f>
        <v>-13601.99011842761</v>
      </c>
      <c r="F6" s="51">
        <f>F30-F88</f>
        <v>129383.4546859349</v>
      </c>
      <c r="G6" s="51">
        <f>G30-G88</f>
        <v>137706.4546859349</v>
      </c>
      <c r="H6" s="51">
        <f>H30-H88</f>
        <v>-16859.37764398998</v>
      </c>
      <c r="I6" s="51">
        <f>I30-I88</f>
        <v>-10759.37764398998</v>
      </c>
      <c r="J6" s="51">
        <f>J30-J88</f>
        <v>-8784.377643989981</v>
      </c>
      <c r="K6" s="51">
        <f>K30-K88</f>
        <v>-13384.37764398998</v>
      </c>
      <c r="L6" s="51">
        <f>L30-L88</f>
        <v>134383.4546859349</v>
      </c>
      <c r="M6" s="51">
        <f>M30-M88</f>
        <v>137706.4546859349</v>
      </c>
      <c r="N6" s="51">
        <f>N30-N88</f>
        <v>-16859.37764398998</v>
      </c>
      <c r="O6" s="51">
        <f>O30-O88</f>
        <v>-10759.37764398998</v>
      </c>
      <c r="P6" s="51">
        <f>P30-P88</f>
        <v>-28784.37764398998</v>
      </c>
      <c r="Q6" s="51">
        <f>Q30-Q88</f>
        <v>-13384.37764398998</v>
      </c>
      <c r="R6" s="51">
        <f>R30-R88</f>
        <v>129383.4546859349</v>
      </c>
      <c r="S6" s="51">
        <f>S30-S88</f>
        <v>137706.4546859349</v>
      </c>
      <c r="T6" s="51">
        <f>T30-T88</f>
        <v>-16859.37764398998</v>
      </c>
      <c r="U6" s="51">
        <f>U30-U88</f>
        <v>-10759.37764398998</v>
      </c>
      <c r="V6" s="51">
        <f>V30-V88</f>
        <v>-8784.377643989981</v>
      </c>
      <c r="W6" s="51">
        <f>W30-W88</f>
        <v>-13384.37764398998</v>
      </c>
      <c r="X6" s="51">
        <f>X30-X88</f>
        <v>134383.4546859349</v>
      </c>
      <c r="Y6" s="51">
        <f>Y30-Y88</f>
        <v>137706.4546859349</v>
      </c>
      <c r="Z6" s="51">
        <f>SUMIF($B$13:$Y$13,"Yes",B6:Y6)</f>
        <v>390802.7089705064</v>
      </c>
      <c r="AA6" s="51">
        <f>AA30-AA88</f>
        <v>418421.4642584863</v>
      </c>
      <c r="AB6" s="51">
        <f>AB30-AB88</f>
        <v>838026.2618503062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-1302</v>
      </c>
      <c r="C7" s="80">
        <f>IF(ISERROR(VLOOKUP(MONTH(C5),Inputs!$D$66:$D$71,1,0)),"",INDEX(Inputs!$B$66:$B$71,MATCH(MONTH(Output!C5),Inputs!$D$66:$D$71,0))-INDEX(Inputs!$C$66:$C$71,MATCH(MONTH(Output!C5),Inputs!$D$66:$D$71,0)))</f>
        <v>1352</v>
      </c>
      <c r="D7" s="80">
        <f>IF(ISERROR(VLOOKUP(MONTH(D5),Inputs!$D$66:$D$71,1,0)),"",INDEX(Inputs!$B$66:$B$71,MATCH(MONTH(Output!D5),Inputs!$D$66:$D$71,0))-INDEX(Inputs!$C$66:$C$71,MATCH(MONTH(Output!D5),Inputs!$D$66:$D$71,0)))</f>
        <v>-414</v>
      </c>
      <c r="E7" s="80">
        <f>IF(ISERROR(VLOOKUP(MONTH(E5),Inputs!$D$66:$D$71,1,0)),"",INDEX(Inputs!$B$66:$B$71,MATCH(MONTH(Output!E5),Inputs!$D$66:$D$71,0))-INDEX(Inputs!$C$66:$C$71,MATCH(MONTH(Output!E5),Inputs!$D$66:$D$71,0)))</f>
        <v>40060</v>
      </c>
      <c r="F7" s="80">
        <f>IF(ISERROR(VLOOKUP(MONTH(F5),Inputs!$D$66:$D$71,1,0)),"",INDEX(Inputs!$B$66:$B$71,MATCH(MONTH(Output!F5),Inputs!$D$66:$D$71,0))-INDEX(Inputs!$C$66:$C$71,MATCH(MONTH(Output!F5),Inputs!$D$66:$D$71,0)))</f>
        <v>128755</v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>
        <f>IF(ISERROR(VLOOKUP(MONTH(M5),Inputs!$D$66:$D$71,1,0)),"",INDEX(Inputs!$B$66:$B$71,MATCH(MONTH(Output!M5),Inputs!$D$66:$D$71,0))-INDEX(Inputs!$C$66:$C$71,MATCH(MONTH(Output!M5),Inputs!$D$66:$D$71,0)))</f>
        <v>-57105</v>
      </c>
      <c r="N7" s="80">
        <f>IF(ISERROR(VLOOKUP(MONTH(N5),Inputs!$D$66:$D$71,1,0)),"",INDEX(Inputs!$B$66:$B$71,MATCH(MONTH(Output!N5),Inputs!$D$66:$D$71,0))-INDEX(Inputs!$C$66:$C$71,MATCH(MONTH(Output!N5),Inputs!$D$66:$D$71,0)))</f>
        <v>-1302</v>
      </c>
      <c r="O7" s="80">
        <f>IF(ISERROR(VLOOKUP(MONTH(O5),Inputs!$D$66:$D$71,1,0)),"",INDEX(Inputs!$B$66:$B$71,MATCH(MONTH(Output!O5),Inputs!$D$66:$D$71,0))-INDEX(Inputs!$C$66:$C$71,MATCH(MONTH(Output!O5),Inputs!$D$66:$D$71,0)))</f>
        <v>1352</v>
      </c>
      <c r="P7" s="80">
        <f>IF(ISERROR(VLOOKUP(MONTH(P5),Inputs!$D$66:$D$71,1,0)),"",INDEX(Inputs!$B$66:$B$71,MATCH(MONTH(Output!P5),Inputs!$D$66:$D$71,0))-INDEX(Inputs!$C$66:$C$71,MATCH(MONTH(Output!P5),Inputs!$D$66:$D$71,0)))</f>
        <v>-414</v>
      </c>
      <c r="Q7" s="80">
        <f>IF(ISERROR(VLOOKUP(MONTH(Q5),Inputs!$D$66:$D$71,1,0)),"",INDEX(Inputs!$B$66:$B$71,MATCH(MONTH(Output!Q5),Inputs!$D$66:$D$71,0))-INDEX(Inputs!$C$66:$C$71,MATCH(MONTH(Output!Q5),Inputs!$D$66:$D$71,0)))</f>
        <v>40060</v>
      </c>
      <c r="R7" s="80">
        <f>IF(ISERROR(VLOOKUP(MONTH(R5),Inputs!$D$66:$D$71,1,0)),"",INDEX(Inputs!$B$66:$B$71,MATCH(MONTH(Output!R5),Inputs!$D$66:$D$71,0))-INDEX(Inputs!$C$66:$C$71,MATCH(MONTH(Output!R5),Inputs!$D$66:$D$71,0)))</f>
        <v>128755</v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>
        <f>IF(ISERROR(VLOOKUP(MONTH(Y5),Inputs!$D$66:$D$71,1,0)),"",INDEX(Inputs!$B$66:$B$71,MATCH(MONTH(Output!Y5),Inputs!$D$66:$D$71,0))-INDEX(Inputs!$C$66:$C$71,MATCH(MONTH(Output!Y5),Inputs!$D$66:$D$71,0)))</f>
        <v>-57105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10000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100000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82818.71540304479</v>
      </c>
      <c r="C11" s="80">
        <f>C6+C9-C10</f>
        <v>-11081.28459695521</v>
      </c>
      <c r="D11" s="80">
        <f>D6+D9-D10</f>
        <v>-39106.28459695521</v>
      </c>
      <c r="E11" s="80">
        <f>E6+E9-E10</f>
        <v>-23601.99011842761</v>
      </c>
      <c r="F11" s="80">
        <f>F6+F9-F10</f>
        <v>119383.4546859349</v>
      </c>
      <c r="G11" s="80">
        <f>G6+G9-G10</f>
        <v>127706.4546859349</v>
      </c>
      <c r="H11" s="80">
        <f>H6+H9-H10</f>
        <v>-26859.37764398998</v>
      </c>
      <c r="I11" s="80">
        <f>I6+I9-I10</f>
        <v>-20759.37764398998</v>
      </c>
      <c r="J11" s="80">
        <f>J6+J9-J10</f>
        <v>-18784.37764398998</v>
      </c>
      <c r="K11" s="80">
        <f>K6+K9-K10</f>
        <v>-23384.37764398998</v>
      </c>
      <c r="L11" s="80">
        <f>L6+L9-L10</f>
        <v>124383.4546859349</v>
      </c>
      <c r="M11" s="80">
        <f>M6+M9-M10</f>
        <v>127706.4546859349</v>
      </c>
      <c r="N11" s="80">
        <f>N6+N9-N10</f>
        <v>-26859.37764398998</v>
      </c>
      <c r="O11" s="80">
        <f>O6+O9-O10</f>
        <v>-20759.37764398998</v>
      </c>
      <c r="P11" s="80">
        <f>P6+P9-P10</f>
        <v>-28784.37764398998</v>
      </c>
      <c r="Q11" s="80">
        <f>Q6+Q9-Q10</f>
        <v>-13384.37764398998</v>
      </c>
      <c r="R11" s="80">
        <f>R6+R9-R10</f>
        <v>129383.4546859349</v>
      </c>
      <c r="S11" s="80">
        <f>S6+S9-S10</f>
        <v>137706.4546859349</v>
      </c>
      <c r="T11" s="80">
        <f>T6+T9-T10</f>
        <v>-16859.37764398998</v>
      </c>
      <c r="U11" s="80">
        <f>U6+U9-U10</f>
        <v>-10759.37764398998</v>
      </c>
      <c r="V11" s="80">
        <f>V6+V9-V10</f>
        <v>-8784.377643989981</v>
      </c>
      <c r="W11" s="80">
        <f>W6+W9-W10</f>
        <v>-13384.37764398998</v>
      </c>
      <c r="X11" s="80">
        <f>X6+X9-X10</f>
        <v>134383.4546859349</v>
      </c>
      <c r="Y11" s="80">
        <f>Y6+Y9-Y10</f>
        <v>137706.4546859349</v>
      </c>
      <c r="Z11" s="85">
        <f>SUMIF($B$13:$Y$13,"Yes",B11:Y11)</f>
        <v>370802.7089705064</v>
      </c>
      <c r="AA11" s="80">
        <f>SUM(B11:M11)</f>
        <v>418421.4642584863</v>
      </c>
      <c r="AB11" s="46">
        <f>SUM(B11:Y11)</f>
        <v>818026.2618503058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0.2345702822753884</v>
      </c>
      <c r="E12" s="82">
        <f>IF(E13="Yes",IF(SUM($B$10:E10)/(SUM($B$6:E6)+SUM($B$9:E9))&lt;0,999.99,SUM($B$10:E10)/(SUM($B$6:E6)+SUM($B$9:E9))),"")</f>
        <v>0.688962501614117</v>
      </c>
      <c r="F12" s="82">
        <f>IF(F13="Yes",IF(SUM($B$10:F10)/(SUM($B$6:F6)+SUM($B$9:F9))&lt;0,999.99,SUM($B$10:F10)/(SUM($B$6:F6)+SUM($B$9:F9))),"")</f>
        <v>0.1893788622819894</v>
      </c>
      <c r="G12" s="82">
        <f>IF(G13="Yes",IF(SUM($B$10:G10)/(SUM($B$6:G6)+SUM($B$9:G9))&lt;0,999.99,SUM($B$10:G10)/(SUM($B$6:G6)+SUM($B$9:G9))),"")</f>
        <v>0.1350807991289409</v>
      </c>
      <c r="H12" s="82">
        <f>IF(H13="Yes",IF(SUM($B$10:H10)/(SUM($B$6:H6)+SUM($B$9:H9))&lt;0,999.99,SUM($B$10:H10)/(SUM($B$6:H6)+SUM($B$9:H9))),"")</f>
        <v>0.1790448180708457</v>
      </c>
      <c r="I12" s="82">
        <f>IF(I13="Yes",IF(SUM($B$10:I10)/(SUM($B$6:I6)+SUM($B$9:I9))&lt;0,999.99,SUM($B$10:I10)/(SUM($B$6:I6)+SUM($B$9:I9))),"")</f>
        <v>0.223463429003058</v>
      </c>
      <c r="J12" s="82">
        <f>IF(J13="Yes",IF(SUM($B$10:J10)/(SUM($B$6:J6)+SUM($B$9:J9))&lt;0,999.99,SUM($B$10:J10)/(SUM($B$6:J6)+SUM($B$9:J9))),"")</f>
        <v>0.2695252436688718</v>
      </c>
      <c r="K12" s="82">
        <f>IF(K13="Yes",IF(SUM($B$10:K10)/(SUM($B$6:K6)+SUM($B$9:K9))&lt;0,999.99,SUM($B$10:K10)/(SUM($B$6:K6)+SUM($B$9:K9))),"")</f>
        <v>0.3247655382065161</v>
      </c>
      <c r="L12" s="82">
        <f>IF(L13="Yes",IF(SUM($B$10:L10)/(SUM($B$6:L6)+SUM($B$9:L9))&lt;0,999.99,SUM($B$10:L10)/(SUM($B$6:L6)+SUM($B$9:L9))),"")</f>
        <v>0.2363972991268395</v>
      </c>
      <c r="M12" s="82">
        <f>IF(M13="Yes",IF(SUM($B$10:M10)/(SUM($B$6:M6)+SUM($B$9:M9))&lt;0,999.99,SUM($B$10:M10)/(SUM($B$6:M6)+SUM($B$9:M9))),"")</f>
        <v>0.1928932478577695</v>
      </c>
      <c r="N12" s="82">
        <f>IF(N13="Yes",IF(SUM($B$10:N10)/(SUM($B$6:N6)+SUM($B$9:N9))&lt;0,999.99,SUM($B$10:N10)/(SUM($B$6:N6)+SUM($B$9:N9))),"")</f>
        <v>0.2193148225028154</v>
      </c>
      <c r="O12" s="82">
        <f>IF(O13="Yes",IF(SUM($B$10:O10)/(SUM($B$6:O6)+SUM($B$9:O9))&lt;0,999.99,SUM($B$10:O10)/(SUM($B$6:O6)+SUM($B$9:O9))),"")</f>
        <v>0.2444974280026052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Tomatoes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119451.6352020596</v>
      </c>
      <c r="G19" s="36">
        <f>S19</f>
        <v>119451.6352020596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119451.6352020596</v>
      </c>
      <c r="M19" s="36">
        <f>Y19</f>
        <v>119451.6352020596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119451.6352020596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119451.6352020596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119451.6352020596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119451.6352020596</v>
      </c>
      <c r="Z19" s="36">
        <f>SUMIF($B$13:$Y$13,"Yes",B19:Y19)</f>
        <v>477806.5408082384</v>
      </c>
      <c r="AA19" s="36">
        <f>SUM(B19:M19)</f>
        <v>477806.5408082384</v>
      </c>
      <c r="AB19" s="36">
        <f>SUM(B19:Y19)</f>
        <v>955613.0816164769</v>
      </c>
      <c r="AC19" s="43"/>
      <c r="AD19" s="43"/>
    </row>
    <row r="20" spans="1:30">
      <c r="A20" t="str">
        <f>IF(Calculations!A6&lt;&gt;Parameters!$A$18,IF(Calculations!A6=0,"",Calculations!A6),Inputs!B9)</f>
        <v>Potatoes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21566.19712786527</v>
      </c>
      <c r="G20" s="36">
        <f>S20</f>
        <v>21566.19712786527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21566.19712786527</v>
      </c>
      <c r="M20" s="36">
        <f>Y20</f>
        <v>21566.19712786527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21566.19712786527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21566.19712786527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21566.19712786527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21566.19712786527</v>
      </c>
      <c r="Z20" s="36">
        <f>SUMIF($B$13:$Y$13,"Yes",B20:Y20)</f>
        <v>86264.78851146108</v>
      </c>
      <c r="AA20" s="36">
        <f>SUM(B20:M20)</f>
        <v>86264.78851146108</v>
      </c>
      <c r="AB20" s="36">
        <f>SUM(B20:Y20)</f>
        <v>172529.5770229222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30000</v>
      </c>
      <c r="C29" s="37">
        <f>Inputs!$B$30</f>
        <v>30000</v>
      </c>
      <c r="D29" s="37">
        <f>Inputs!$B$30</f>
        <v>30000</v>
      </c>
      <c r="E29" s="37">
        <f>Inputs!$B$30</f>
        <v>30000</v>
      </c>
      <c r="F29" s="37">
        <f>Inputs!$B$30</f>
        <v>30000</v>
      </c>
      <c r="G29" s="37">
        <f>Inputs!$B$30</f>
        <v>30000</v>
      </c>
      <c r="H29" s="37">
        <f>Inputs!$B$30</f>
        <v>30000</v>
      </c>
      <c r="I29" s="37">
        <f>Inputs!$B$30</f>
        <v>30000</v>
      </c>
      <c r="J29" s="37">
        <f>Inputs!$B$30</f>
        <v>30000</v>
      </c>
      <c r="K29" s="37">
        <f>Inputs!$B$30</f>
        <v>30000</v>
      </c>
      <c r="L29" s="37">
        <f>Inputs!$B$30</f>
        <v>30000</v>
      </c>
      <c r="M29" s="37">
        <f>Inputs!$B$30</f>
        <v>30000</v>
      </c>
      <c r="N29" s="37">
        <f>Inputs!$B$30</f>
        <v>30000</v>
      </c>
      <c r="O29" s="37">
        <f>Inputs!$B$30</f>
        <v>30000</v>
      </c>
      <c r="P29" s="37">
        <f>Inputs!$B$30</f>
        <v>30000</v>
      </c>
      <c r="Q29" s="37">
        <f>Inputs!$B$30</f>
        <v>30000</v>
      </c>
      <c r="R29" s="37">
        <f>Inputs!$B$30</f>
        <v>30000</v>
      </c>
      <c r="S29" s="37">
        <f>Inputs!$B$30</f>
        <v>30000</v>
      </c>
      <c r="T29" s="37">
        <f>Inputs!$B$30</f>
        <v>30000</v>
      </c>
      <c r="U29" s="37">
        <f>Inputs!$B$30</f>
        <v>30000</v>
      </c>
      <c r="V29" s="37">
        <f>Inputs!$B$30</f>
        <v>30000</v>
      </c>
      <c r="W29" s="37">
        <f>Inputs!$B$30</f>
        <v>30000</v>
      </c>
      <c r="X29" s="37">
        <f>Inputs!$B$30</f>
        <v>30000</v>
      </c>
      <c r="Y29" s="37">
        <f>Inputs!$B$30</f>
        <v>30000</v>
      </c>
      <c r="Z29" s="37">
        <f>SUMIF($B$13:$Y$13,"Yes",B29:Y29)</f>
        <v>420000</v>
      </c>
      <c r="AA29" s="37">
        <f>SUM(B29:M29)</f>
        <v>360000</v>
      </c>
      <c r="AB29" s="37">
        <f>SUM(B29:Y29)</f>
        <v>720000</v>
      </c>
    </row>
    <row r="30" spans="1:30" customHeight="1" ht="15.75">
      <c r="A30" s="1" t="s">
        <v>37</v>
      </c>
      <c r="B30" s="19">
        <f>SUM(B18:B29)</f>
        <v>30000</v>
      </c>
      <c r="C30" s="19">
        <f>SUM(C18:C29)</f>
        <v>30000</v>
      </c>
      <c r="D30" s="19">
        <f>SUM(D18:D29)</f>
        <v>30000</v>
      </c>
      <c r="E30" s="19">
        <f>SUM(E18:E29)</f>
        <v>30000</v>
      </c>
      <c r="F30" s="19">
        <f>SUM(F18:F29)</f>
        <v>171017.8323299249</v>
      </c>
      <c r="G30" s="19">
        <f>SUM(G18:G29)</f>
        <v>171017.8323299249</v>
      </c>
      <c r="H30" s="19">
        <f>SUM(H18:H29)</f>
        <v>30000</v>
      </c>
      <c r="I30" s="19">
        <f>SUM(I18:I29)</f>
        <v>30000</v>
      </c>
      <c r="J30" s="19">
        <f>SUM(J18:J29)</f>
        <v>30000</v>
      </c>
      <c r="K30" s="19">
        <f>SUM(K18:K29)</f>
        <v>30000</v>
      </c>
      <c r="L30" s="19">
        <f>SUM(L18:L29)</f>
        <v>171017.8323299249</v>
      </c>
      <c r="M30" s="19">
        <f>SUM(M18:M29)</f>
        <v>171017.8323299249</v>
      </c>
      <c r="N30" s="19">
        <f>SUM(N18:N29)</f>
        <v>30000</v>
      </c>
      <c r="O30" s="19">
        <f>SUM(O18:O29)</f>
        <v>30000</v>
      </c>
      <c r="P30" s="19">
        <f>SUM(P18:P29)</f>
        <v>30000</v>
      </c>
      <c r="Q30" s="19">
        <f>SUM(Q18:Q29)</f>
        <v>30000</v>
      </c>
      <c r="R30" s="19">
        <f>SUM(R18:R29)</f>
        <v>171017.8323299249</v>
      </c>
      <c r="S30" s="19">
        <f>SUM(S18:S29)</f>
        <v>171017.8323299249</v>
      </c>
      <c r="T30" s="19">
        <f>SUM(T18:T29)</f>
        <v>30000</v>
      </c>
      <c r="U30" s="19">
        <f>SUM(U18:U29)</f>
        <v>30000</v>
      </c>
      <c r="V30" s="19">
        <f>SUM(V18:V29)</f>
        <v>30000</v>
      </c>
      <c r="W30" s="19">
        <f>SUM(W18:W29)</f>
        <v>30000</v>
      </c>
      <c r="X30" s="19">
        <f>SUM(X18:X29)</f>
        <v>171017.8323299249</v>
      </c>
      <c r="Y30" s="19">
        <f>SUM(Y18:Y29)</f>
        <v>171017.8323299249</v>
      </c>
      <c r="Z30" s="19">
        <f>SUMIF($B$13:$Y$13,"Yes",B30:Y30)</f>
        <v>984071.3293196994</v>
      </c>
      <c r="AA30" s="19">
        <f>SUM(B30:M30)</f>
        <v>924071.3293196994</v>
      </c>
      <c r="AB30" s="19">
        <f>SUM(B30:Y30)</f>
        <v>1848142.658639399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1000</v>
      </c>
      <c r="C36" s="36">
        <f>O36</f>
        <v>3000</v>
      </c>
      <c r="D36" s="36">
        <f>P36</f>
        <v>0</v>
      </c>
      <c r="E36" s="36">
        <f>Q36</f>
        <v>0</v>
      </c>
      <c r="F36" s="36">
        <f>R36</f>
        <v>5000</v>
      </c>
      <c r="G36" s="36">
        <f>S36</f>
        <v>0</v>
      </c>
      <c r="H36" s="36">
        <f>T36</f>
        <v>1000</v>
      </c>
      <c r="I36" s="36">
        <f>U36</f>
        <v>3000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1000</v>
      </c>
      <c r="O36" s="36">
        <f>SUM(O37:O41)</f>
        <v>3000</v>
      </c>
      <c r="P36" s="36">
        <f>SUM(P37:P41)</f>
        <v>0</v>
      </c>
      <c r="Q36" s="36">
        <f>SUM(Q37:Q41)</f>
        <v>0</v>
      </c>
      <c r="R36" s="36">
        <f>SUM(R37:R41)</f>
        <v>5000</v>
      </c>
      <c r="S36" s="36">
        <f>SUM(S37:S41)</f>
        <v>0</v>
      </c>
      <c r="T36" s="36">
        <f>SUM(T37:T41)</f>
        <v>1000</v>
      </c>
      <c r="U36" s="36">
        <f>SUM(U37:U41)</f>
        <v>3000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17000</v>
      </c>
      <c r="AA36" s="36">
        <f>SUM(B36:M36)</f>
        <v>13000</v>
      </c>
      <c r="AB36" s="36">
        <f>SUM(B36:Y36)</f>
        <v>26000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5000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5000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5000</v>
      </c>
      <c r="AA37" s="36">
        <f>SUM(B37:M37)</f>
        <v>5000</v>
      </c>
      <c r="AB37" s="36">
        <f>SUM(B37:Y37)</f>
        <v>10000</v>
      </c>
      <c r="AC37" s="73"/>
    </row>
    <row r="38" spans="1:30" hidden="true" outlineLevel="1">
      <c r="A38" s="181" t="str">
        <f>Calculations!$A$5</f>
        <v>Tomatoes</v>
      </c>
      <c r="B38" s="36">
        <f>N38</f>
        <v>0</v>
      </c>
      <c r="C38" s="36">
        <f>O38</f>
        <v>3000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3000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3000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3000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9000</v>
      </c>
      <c r="AA38" s="36">
        <f>SUM(B38:M38)</f>
        <v>6000</v>
      </c>
      <c r="AB38" s="36">
        <f>SUM(B38:Y38)</f>
        <v>12000</v>
      </c>
      <c r="AC38" s="73"/>
    </row>
    <row r="39" spans="1:30" hidden="true" outlineLevel="1">
      <c r="A39" s="181" t="str">
        <f>Calculations!$A$6</f>
        <v>Potatoes</v>
      </c>
      <c r="B39" s="36">
        <f>N39</f>
        <v>1000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1000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1000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1000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3000</v>
      </c>
      <c r="AA39" s="36">
        <f>SUM(B39:M39)</f>
        <v>2000</v>
      </c>
      <c r="AB39" s="36">
        <f>SUM(B39:Y39)</f>
        <v>4000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12000</v>
      </c>
      <c r="C42" s="36">
        <f>O42</f>
        <v>1125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12000</v>
      </c>
      <c r="I42" s="36">
        <f>U42</f>
        <v>1125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12000</v>
      </c>
      <c r="O42" s="36">
        <f>SUM(O43:O47)</f>
        <v>1125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12000</v>
      </c>
      <c r="U42" s="36">
        <f>SUM(U43:U47)</f>
        <v>1125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39375</v>
      </c>
      <c r="AA42" s="36">
        <f>SUM(B42:M42)</f>
        <v>26250</v>
      </c>
      <c r="AB42" s="36">
        <f>SUM(B42:Y42)</f>
        <v>52500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Tomatoes</v>
      </c>
      <c r="B44" s="36">
        <f>N44</f>
        <v>0</v>
      </c>
      <c r="C44" s="36">
        <f>O44</f>
        <v>1125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1125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1125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1125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3375</v>
      </c>
      <c r="AA44" s="36">
        <f>SUM(B44:M44)</f>
        <v>2250</v>
      </c>
      <c r="AB44" s="36">
        <f>SUM(B44:Y44)</f>
        <v>4500</v>
      </c>
    </row>
    <row r="45" spans="1:30" hidden="true" outlineLevel="1">
      <c r="A45" s="181" t="str">
        <f>Calculations!$A$6</f>
        <v>Potatoes</v>
      </c>
      <c r="B45" s="36">
        <f>N45</f>
        <v>12000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12000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12000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12000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36000</v>
      </c>
      <c r="AA45" s="36">
        <f>SUM(B45:M45)</f>
        <v>24000</v>
      </c>
      <c r="AB45" s="36">
        <f>SUM(B45:Y45)</f>
        <v>48000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2150</v>
      </c>
      <c r="E48" s="36">
        <f>Q48</f>
        <v>6750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2150</v>
      </c>
      <c r="K48" s="36">
        <f>W48</f>
        <v>6750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2150</v>
      </c>
      <c r="Q48" s="46">
        <f>SUM(Q49:Q53)</f>
        <v>6750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2150</v>
      </c>
      <c r="W48" s="46">
        <f>SUM(W49:W53)</f>
        <v>6750</v>
      </c>
      <c r="X48" s="46">
        <f>SUM(X49:X53)</f>
        <v>0</v>
      </c>
      <c r="Y48" s="46">
        <f>SUM(Y49:Y53)</f>
        <v>0</v>
      </c>
      <c r="Z48" s="46">
        <f>SUMIF($B$13:$Y$13,"Yes",B48:Y48)</f>
        <v>17800</v>
      </c>
      <c r="AA48" s="46">
        <f>SUM(B48:M48)</f>
        <v>17800</v>
      </c>
      <c r="AB48" s="46">
        <f>SUM(B48:Y48)</f>
        <v>35600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Tomatoes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6750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6750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6750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6750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13500</v>
      </c>
      <c r="AA50" s="46">
        <f>SUM(B50:M50)</f>
        <v>13500</v>
      </c>
      <c r="AB50" s="46">
        <f>SUM(B50:Y50)</f>
        <v>27000</v>
      </c>
    </row>
    <row r="51" spans="1:30" hidden="true" outlineLevel="1">
      <c r="A51" s="181" t="str">
        <f>Calculations!$A$6</f>
        <v>Potatoes</v>
      </c>
      <c r="B51" s="36">
        <f>N51</f>
        <v>0</v>
      </c>
      <c r="C51" s="36">
        <f>O51</f>
        <v>0</v>
      </c>
      <c r="D51" s="36">
        <f>P51</f>
        <v>2150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2150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2150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2150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4300</v>
      </c>
      <c r="AA51" s="46">
        <f>SUM(B51:M51)</f>
        <v>4300</v>
      </c>
      <c r="AB51" s="46">
        <f>SUM(B51:Y51)</f>
        <v>8600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Tomatoes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Potatoes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500</v>
      </c>
      <c r="C60" s="36">
        <f>O60</f>
        <v>2750</v>
      </c>
      <c r="D60" s="36">
        <f>P60</f>
        <v>2750</v>
      </c>
      <c r="E60" s="36">
        <f>Q60</f>
        <v>2750</v>
      </c>
      <c r="F60" s="36">
        <f>R60</f>
        <v>2750</v>
      </c>
      <c r="G60" s="36">
        <f>S60</f>
        <v>0</v>
      </c>
      <c r="H60" s="36">
        <f>T60</f>
        <v>500</v>
      </c>
      <c r="I60" s="36">
        <f>U60</f>
        <v>2750</v>
      </c>
      <c r="J60" s="36">
        <f>V60</f>
        <v>2750</v>
      </c>
      <c r="K60" s="36">
        <f>W60</f>
        <v>2750</v>
      </c>
      <c r="L60" s="36">
        <f>X60</f>
        <v>2750</v>
      </c>
      <c r="M60" s="36">
        <f>Y60</f>
        <v>0</v>
      </c>
      <c r="N60" s="46">
        <f>SUM(N61:N65)</f>
        <v>500</v>
      </c>
      <c r="O60" s="46">
        <f>SUM(O61:O65)</f>
        <v>2750</v>
      </c>
      <c r="P60" s="46">
        <f>SUM(P61:P65)</f>
        <v>2750</v>
      </c>
      <c r="Q60" s="46">
        <f>SUM(Q61:Q65)</f>
        <v>2750</v>
      </c>
      <c r="R60" s="46">
        <f>SUM(R61:R65)</f>
        <v>2750</v>
      </c>
      <c r="S60" s="46">
        <f>SUM(S61:S65)</f>
        <v>0</v>
      </c>
      <c r="T60" s="46">
        <f>SUM(T61:T65)</f>
        <v>500</v>
      </c>
      <c r="U60" s="46">
        <f>SUM(U61:U65)</f>
        <v>2750</v>
      </c>
      <c r="V60" s="46">
        <f>SUM(V61:V65)</f>
        <v>2750</v>
      </c>
      <c r="W60" s="46">
        <f>SUM(W61:W65)</f>
        <v>2750</v>
      </c>
      <c r="X60" s="46">
        <f>SUM(X61:X65)</f>
        <v>2750</v>
      </c>
      <c r="Y60" s="46">
        <f>SUM(Y61:Y65)</f>
        <v>0</v>
      </c>
      <c r="Z60" s="46">
        <f>SUMIF($B$13:$Y$13,"Yes",B60:Y60)</f>
        <v>26250</v>
      </c>
      <c r="AA60" s="46">
        <f>SUM(B60:M60)</f>
        <v>23000</v>
      </c>
      <c r="AB60" s="46">
        <f>SUM(B60:Y60)</f>
        <v>46000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Tomatoes</v>
      </c>
      <c r="B62" s="36">
        <f>N62</f>
        <v>0</v>
      </c>
      <c r="C62" s="36">
        <f>O62</f>
        <v>2250</v>
      </c>
      <c r="D62" s="36">
        <f>P62</f>
        <v>2250</v>
      </c>
      <c r="E62" s="36">
        <f>Q62</f>
        <v>2250</v>
      </c>
      <c r="F62" s="36">
        <f>R62</f>
        <v>2250</v>
      </c>
      <c r="G62" s="36">
        <f>S62</f>
        <v>0</v>
      </c>
      <c r="H62" s="36">
        <f>T62</f>
        <v>0</v>
      </c>
      <c r="I62" s="36">
        <f>U62</f>
        <v>2250</v>
      </c>
      <c r="J62" s="36">
        <f>V62</f>
        <v>2250</v>
      </c>
      <c r="K62" s="36">
        <f>W62</f>
        <v>2250</v>
      </c>
      <c r="L62" s="36">
        <f>X62</f>
        <v>2250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2250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2250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2250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2250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2250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2250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2250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2250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20250</v>
      </c>
      <c r="AA62" s="46">
        <f>SUM(B62:M62)</f>
        <v>18000</v>
      </c>
      <c r="AB62" s="46">
        <f>SUM(B62:Y62)</f>
        <v>36000</v>
      </c>
    </row>
    <row r="63" spans="1:30" hidden="true" outlineLevel="1">
      <c r="A63" s="181" t="str">
        <f>Calculations!$A$6</f>
        <v>Potatoes</v>
      </c>
      <c r="B63" s="36">
        <f>N63</f>
        <v>500</v>
      </c>
      <c r="C63" s="36">
        <f>O63</f>
        <v>500</v>
      </c>
      <c r="D63" s="36">
        <f>P63</f>
        <v>500</v>
      </c>
      <c r="E63" s="36">
        <f>Q63</f>
        <v>500</v>
      </c>
      <c r="F63" s="36">
        <f>R63</f>
        <v>500</v>
      </c>
      <c r="G63" s="36">
        <f>S63</f>
        <v>0</v>
      </c>
      <c r="H63" s="36">
        <f>T63</f>
        <v>500</v>
      </c>
      <c r="I63" s="36">
        <f>U63</f>
        <v>500</v>
      </c>
      <c r="J63" s="36">
        <f>V63</f>
        <v>500</v>
      </c>
      <c r="K63" s="36">
        <f>W63</f>
        <v>500</v>
      </c>
      <c r="L63" s="36">
        <f>X63</f>
        <v>500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500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500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500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500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500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500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500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500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500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500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6000</v>
      </c>
      <c r="AA63" s="46">
        <f>SUM(B63:M63)</f>
        <v>5000</v>
      </c>
      <c r="AB63" s="46">
        <f>SUM(B63:Y63)</f>
        <v>10000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47.99999999999998</v>
      </c>
      <c r="C66" s="36">
        <f>O66</f>
        <v>572.9999999999998</v>
      </c>
      <c r="D66" s="36">
        <f>P66</f>
        <v>572.9999999999998</v>
      </c>
      <c r="E66" s="36">
        <f>Q66</f>
        <v>572.9999999999998</v>
      </c>
      <c r="F66" s="36">
        <f>R66</f>
        <v>572.9999999999998</v>
      </c>
      <c r="G66" s="36">
        <f>S66</f>
        <v>0</v>
      </c>
      <c r="H66" s="36">
        <f>T66</f>
        <v>47.99999999999998</v>
      </c>
      <c r="I66" s="36">
        <f>U66</f>
        <v>572.9999999999998</v>
      </c>
      <c r="J66" s="36">
        <f>V66</f>
        <v>572.9999999999998</v>
      </c>
      <c r="K66" s="36">
        <f>W66</f>
        <v>572.9999999999998</v>
      </c>
      <c r="L66" s="36">
        <f>X66</f>
        <v>572.9999999999998</v>
      </c>
      <c r="M66" s="36">
        <f>Y66</f>
        <v>0</v>
      </c>
      <c r="N66" s="46">
        <f>SUM(N67:N71)</f>
        <v>47.99999999999998</v>
      </c>
      <c r="O66" s="46">
        <f>SUM(O67:O71)</f>
        <v>572.9999999999998</v>
      </c>
      <c r="P66" s="46">
        <f>SUM(P67:P71)</f>
        <v>572.9999999999998</v>
      </c>
      <c r="Q66" s="46">
        <f>SUM(Q67:Q71)</f>
        <v>572.9999999999998</v>
      </c>
      <c r="R66" s="46">
        <f>SUM(R67:R71)</f>
        <v>572.9999999999998</v>
      </c>
      <c r="S66" s="46">
        <f>SUM(S67:S71)</f>
        <v>0</v>
      </c>
      <c r="T66" s="46">
        <f>SUM(T67:T71)</f>
        <v>47.99999999999998</v>
      </c>
      <c r="U66" s="46">
        <f>SUM(U67:U71)</f>
        <v>572.9999999999998</v>
      </c>
      <c r="V66" s="46">
        <f>SUM(V67:V71)</f>
        <v>572.9999999999998</v>
      </c>
      <c r="W66" s="46">
        <f>SUM(W67:W71)</f>
        <v>572.9999999999998</v>
      </c>
      <c r="X66" s="46">
        <f>SUM(X67:X71)</f>
        <v>572.9999999999998</v>
      </c>
      <c r="Y66" s="46">
        <f>SUM(Y67:Y71)</f>
        <v>0</v>
      </c>
      <c r="Z66" s="46">
        <f>SUMIF($B$13:$Y$13,"Yes",B66:Y66)</f>
        <v>5300.999999999999</v>
      </c>
      <c r="AA66" s="46">
        <f>SUM(B66:M66)</f>
        <v>4679.999999999999</v>
      </c>
      <c r="AB66" s="46">
        <f>SUM(B66:Y66)</f>
        <v>9359.999999999998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Tomatoes</v>
      </c>
      <c r="B68" s="36">
        <f>N68</f>
        <v>0</v>
      </c>
      <c r="C68" s="36">
        <f>O68</f>
        <v>524.9999999999998</v>
      </c>
      <c r="D68" s="36">
        <f>P68</f>
        <v>524.9999999999998</v>
      </c>
      <c r="E68" s="36">
        <f>Q68</f>
        <v>524.9999999999998</v>
      </c>
      <c r="F68" s="36">
        <f>R68</f>
        <v>524.9999999999998</v>
      </c>
      <c r="G68" s="36">
        <f>S68</f>
        <v>0</v>
      </c>
      <c r="H68" s="36">
        <f>T68</f>
        <v>0</v>
      </c>
      <c r="I68" s="36">
        <f>U68</f>
        <v>524.9999999999998</v>
      </c>
      <c r="J68" s="36">
        <f>V68</f>
        <v>524.9999999999998</v>
      </c>
      <c r="K68" s="36">
        <f>W68</f>
        <v>524.9999999999998</v>
      </c>
      <c r="L68" s="36">
        <f>X68</f>
        <v>524.9999999999998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524.9999999999998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524.9999999999998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524.9999999999998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524.9999999999998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524.9999999999998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524.9999999999998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524.9999999999998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524.9999999999998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4724.999999999999</v>
      </c>
      <c r="AA68" s="46">
        <f>SUM(B68:M68)</f>
        <v>4199.999999999999</v>
      </c>
      <c r="AB68" s="46">
        <f>SUM(B68:Y68)</f>
        <v>8399.999999999998</v>
      </c>
    </row>
    <row r="69" spans="1:30" hidden="true" outlineLevel="1">
      <c r="A69" s="181" t="str">
        <f>Calculations!$A$6</f>
        <v>Potatoes</v>
      </c>
      <c r="B69" s="36">
        <f>N69</f>
        <v>47.99999999999998</v>
      </c>
      <c r="C69" s="36">
        <f>O69</f>
        <v>47.99999999999998</v>
      </c>
      <c r="D69" s="36">
        <f>P69</f>
        <v>47.99999999999998</v>
      </c>
      <c r="E69" s="36">
        <f>Q69</f>
        <v>47.99999999999998</v>
      </c>
      <c r="F69" s="36">
        <f>R69</f>
        <v>47.99999999999998</v>
      </c>
      <c r="G69" s="36">
        <f>S69</f>
        <v>0</v>
      </c>
      <c r="H69" s="36">
        <f>T69</f>
        <v>47.99999999999998</v>
      </c>
      <c r="I69" s="36">
        <f>U69</f>
        <v>47.99999999999998</v>
      </c>
      <c r="J69" s="36">
        <f>V69</f>
        <v>47.99999999999998</v>
      </c>
      <c r="K69" s="36">
        <f>W69</f>
        <v>47.99999999999998</v>
      </c>
      <c r="L69" s="36">
        <f>X69</f>
        <v>47.99999999999998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47.99999999999998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47.99999999999998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47.99999999999998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47.99999999999998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47.99999999999998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47.99999999999998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47.99999999999998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47.99999999999998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47.99999999999998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47.99999999999998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575.9999999999999</v>
      </c>
      <c r="AA69" s="46">
        <f>SUM(B69:M69)</f>
        <v>479.9999999999999</v>
      </c>
      <c r="AB69" s="46">
        <f>SUM(B69:Y69)</f>
        <v>959.9999999999999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20000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20000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20000</v>
      </c>
      <c r="AA72" s="46">
        <f>SUM(B72:M72)</f>
        <v>20000</v>
      </c>
      <c r="AB72" s="46">
        <f>SUM(B72:Y72)</f>
        <v>40000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140000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23311.37764398998</v>
      </c>
      <c r="C81" s="46">
        <f>(SUM($AA$18:$AA$29)-SUM($AA$36,$AA$42,$AA$48,$AA$54,$AA$60,$AA$66,$AA$72:$AA$79))*Parameters!$B$37/12</f>
        <v>23311.37764398998</v>
      </c>
      <c r="D81" s="46">
        <f>(SUM($AA$18:$AA$29)-SUM($AA$36,$AA$42,$AA$48,$AA$54,$AA$60,$AA$66,$AA$72:$AA$79))*Parameters!$B$37/12</f>
        <v>23311.37764398998</v>
      </c>
      <c r="E81" s="46">
        <f>(SUM($AA$18:$AA$29)-SUM($AA$36,$AA$42,$AA$48,$AA$54,$AA$60,$AA$66,$AA$72:$AA$79))*Parameters!$B$37/12</f>
        <v>23311.37764398998</v>
      </c>
      <c r="F81" s="46">
        <f>(SUM($AA$18:$AA$29)-SUM($AA$36,$AA$42,$AA$48,$AA$54,$AA$60,$AA$66,$AA$72:$AA$79))*Parameters!$B$37/12</f>
        <v>23311.37764398998</v>
      </c>
      <c r="G81" s="46">
        <f>(SUM($AA$18:$AA$29)-SUM($AA$36,$AA$42,$AA$48,$AA$54,$AA$60,$AA$66,$AA$72:$AA$79))*Parameters!$B$37/12</f>
        <v>23311.37764398998</v>
      </c>
      <c r="H81" s="46">
        <f>(SUM($AA$18:$AA$29)-SUM($AA$36,$AA$42,$AA$48,$AA$54,$AA$60,$AA$66,$AA$72:$AA$79))*Parameters!$B$37/12</f>
        <v>23311.37764398998</v>
      </c>
      <c r="I81" s="46">
        <f>(SUM($AA$18:$AA$29)-SUM($AA$36,$AA$42,$AA$48,$AA$54,$AA$60,$AA$66,$AA$72:$AA$79))*Parameters!$B$37/12</f>
        <v>23311.37764398998</v>
      </c>
      <c r="J81" s="46">
        <f>(SUM($AA$18:$AA$29)-SUM($AA$36,$AA$42,$AA$48,$AA$54,$AA$60,$AA$66,$AA$72:$AA$79))*Parameters!$B$37/12</f>
        <v>23311.37764398998</v>
      </c>
      <c r="K81" s="46">
        <f>(SUM($AA$18:$AA$29)-SUM($AA$36,$AA$42,$AA$48,$AA$54,$AA$60,$AA$66,$AA$72:$AA$79))*Parameters!$B$37/12</f>
        <v>23311.37764398998</v>
      </c>
      <c r="L81" s="46">
        <f>(SUM($AA$18:$AA$29)-SUM($AA$36,$AA$42,$AA$48,$AA$54,$AA$60,$AA$66,$AA$72:$AA$79))*Parameters!$B$37/12</f>
        <v>23311.37764398998</v>
      </c>
      <c r="M81" s="46">
        <f>(SUM($AA$18:$AA$29)-SUM($AA$36,$AA$42,$AA$48,$AA$54,$AA$60,$AA$66,$AA$72:$AA$79))*Parameters!$B$37/12</f>
        <v>23311.37764398998</v>
      </c>
      <c r="N81" s="46">
        <f>(SUM($AA$18:$AA$29)-SUM($AA$36,$AA$42,$AA$48,$AA$54,$AA$60,$AA$66,$AA$72:$AA$79))*Parameters!$B$37/12</f>
        <v>23311.37764398998</v>
      </c>
      <c r="O81" s="46">
        <f>(SUM($AA$18:$AA$29)-SUM($AA$36,$AA$42,$AA$48,$AA$54,$AA$60,$AA$66,$AA$72:$AA$79))*Parameters!$B$37/12</f>
        <v>23311.37764398998</v>
      </c>
      <c r="P81" s="46">
        <f>(SUM($AA$18:$AA$29)-SUM($AA$36,$AA$42,$AA$48,$AA$54,$AA$60,$AA$66,$AA$72:$AA$79))*Parameters!$B$37/12</f>
        <v>23311.37764398998</v>
      </c>
      <c r="Q81" s="46">
        <f>(SUM($AA$18:$AA$29)-SUM($AA$36,$AA$42,$AA$48,$AA$54,$AA$60,$AA$66,$AA$72:$AA$79))*Parameters!$B$37/12</f>
        <v>23311.37764398998</v>
      </c>
      <c r="R81" s="46">
        <f>(SUM($AA$18:$AA$29)-SUM($AA$36,$AA$42,$AA$48,$AA$54,$AA$60,$AA$66,$AA$72:$AA$79))*Parameters!$B$37/12</f>
        <v>23311.37764398998</v>
      </c>
      <c r="S81" s="46">
        <f>(SUM($AA$18:$AA$29)-SUM($AA$36,$AA$42,$AA$48,$AA$54,$AA$60,$AA$66,$AA$72:$AA$79))*Parameters!$B$37/12</f>
        <v>23311.37764398998</v>
      </c>
      <c r="T81" s="46">
        <f>(SUM($AA$18:$AA$29)-SUM($AA$36,$AA$42,$AA$48,$AA$54,$AA$60,$AA$66,$AA$72:$AA$79))*Parameters!$B$37/12</f>
        <v>23311.37764398998</v>
      </c>
      <c r="U81" s="46">
        <f>(SUM($AA$18:$AA$29)-SUM($AA$36,$AA$42,$AA$48,$AA$54,$AA$60,$AA$66,$AA$72:$AA$79))*Parameters!$B$37/12</f>
        <v>23311.37764398998</v>
      </c>
      <c r="V81" s="46">
        <f>(SUM($AA$18:$AA$29)-SUM($AA$36,$AA$42,$AA$48,$AA$54,$AA$60,$AA$66,$AA$72:$AA$79))*Parameters!$B$37/12</f>
        <v>23311.37764398998</v>
      </c>
      <c r="W81" s="46">
        <f>(SUM($AA$18:$AA$29)-SUM($AA$36,$AA$42,$AA$48,$AA$54,$AA$60,$AA$66,$AA$72:$AA$79))*Parameters!$B$37/12</f>
        <v>23311.37764398998</v>
      </c>
      <c r="X81" s="46">
        <f>(SUM($AA$18:$AA$29)-SUM($AA$36,$AA$42,$AA$48,$AA$54,$AA$60,$AA$66,$AA$72:$AA$79))*Parameters!$B$37/12</f>
        <v>23311.37764398998</v>
      </c>
      <c r="Y81" s="46">
        <f>(SUM($AA$18:$AA$29)-SUM($AA$36,$AA$42,$AA$48,$AA$54,$AA$60,$AA$66,$AA$72:$AA$79))*Parameters!$B$37/12</f>
        <v>23311.37764398998</v>
      </c>
      <c r="Z81" s="46">
        <f>SUMIF($B$13:$Y$13,"Yes",B81:Y81)</f>
        <v>326359.2870158597</v>
      </c>
      <c r="AA81" s="46">
        <f>SUM(B81:M81)</f>
        <v>279736.5317278798</v>
      </c>
      <c r="AB81" s="46">
        <f>SUM(B81:Y81)</f>
        <v>559473.0634557595</v>
      </c>
    </row>
    <row r="82" spans="1:30">
      <c r="A82" s="16" t="s">
        <v>52</v>
      </c>
      <c r="B82" s="46">
        <f>SUM(B83:B87)</f>
        <v>321.9069529652352</v>
      </c>
      <c r="C82" s="46">
        <f>SUM(C83:C87)</f>
        <v>321.9069529652352</v>
      </c>
      <c r="D82" s="46">
        <f>SUM(D83:D87)</f>
        <v>321.9069529652352</v>
      </c>
      <c r="E82" s="46">
        <f>SUM(E83:E87)</f>
        <v>217.6124744376278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1183.333333333333</v>
      </c>
      <c r="AA82" s="46">
        <f>SUM(B82:M82)</f>
        <v>1183.333333333333</v>
      </c>
      <c r="AB82" s="46">
        <f>SUM(B82:Y82)</f>
        <v>1183.333333333333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321.9069529652352</v>
      </c>
      <c r="C83" s="46">
        <f>IF(Calculations!$E23&gt;COUNT(Output!$B$35:C$35),Calculations!$B23,IF(Calculations!$E23=COUNT(Output!$B$35:C$35),Inputs!$B56-Calculations!$C23*(Calculations!$E23-1)+Calculations!$D23,0))</f>
        <v>321.9069529652352</v>
      </c>
      <c r="D83" s="46">
        <f>IF(Calculations!$E23&gt;COUNT(Output!$B$35:D$35),Calculations!$B23,IF(Calculations!$E23=COUNT(Output!$B$35:D$35),Inputs!$B56-Calculations!$C23*(Calculations!$E23-1)+Calculations!$D23,0))</f>
        <v>321.9069529652352</v>
      </c>
      <c r="E83" s="46">
        <f>IF(Calculations!$E23&gt;COUNT(Output!$B$35:E$35),Calculations!$B23,IF(Calculations!$E23=COUNT(Output!$B$35:E$35),Inputs!$B56-Calculations!$C23*(Calculations!$E23-1)+Calculations!$D23,0))</f>
        <v>217.6124744376278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1183.333333333333</v>
      </c>
      <c r="AA83" s="46">
        <f>SUM(B83:M83)</f>
        <v>1183.333333333333</v>
      </c>
      <c r="AB83" s="46">
        <f>SUM(B83:Y83)</f>
        <v>1183.333333333333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47181.28459695521</v>
      </c>
      <c r="C88" s="19">
        <f>SUM(C72:C82,C66,C60,C54,C48,C42,C36)</f>
        <v>41081.28459695521</v>
      </c>
      <c r="D88" s="19">
        <f>SUM(D72:D82,D66,D60,D54,D48,D42,D36)</f>
        <v>59106.28459695521</v>
      </c>
      <c r="E88" s="19">
        <f>SUM(E72:E82,E66,E60,E54,E48,E42,E36)</f>
        <v>43601.99011842761</v>
      </c>
      <c r="F88" s="19">
        <f>SUM(F72:F82,F66,F60,F54,F48,F42,F36)</f>
        <v>41634.37764398998</v>
      </c>
      <c r="G88" s="19">
        <f>SUM(G72:G82,G66,G60,G54,G48,G42,G36)</f>
        <v>33311.37764398998</v>
      </c>
      <c r="H88" s="19">
        <f>SUM(H72:H82,H66,H60,H54,H48,H42,H36)</f>
        <v>46859.37764398998</v>
      </c>
      <c r="I88" s="19">
        <f>SUM(I72:I82,I66,I60,I54,I48,I42,I36)</f>
        <v>40759.37764398998</v>
      </c>
      <c r="J88" s="19">
        <f>SUM(J72:J82,J66,J60,J54,J48,J42,J36)</f>
        <v>38784.37764398998</v>
      </c>
      <c r="K88" s="19">
        <f>SUM(K72:K82,K66,K60,K54,K48,K42,K36)</f>
        <v>43384.37764398998</v>
      </c>
      <c r="L88" s="19">
        <f>SUM(L72:L82,L66,L60,L54,L48,L42,L36)</f>
        <v>36634.37764398998</v>
      </c>
      <c r="M88" s="19">
        <f>SUM(M72:M82,M66,M60,M54,M48,M42,M36)</f>
        <v>33311.37764398998</v>
      </c>
      <c r="N88" s="19">
        <f>SUM(N72:N82,N66,N60,N54,N48,N42,N36)</f>
        <v>46859.37764398998</v>
      </c>
      <c r="O88" s="19">
        <f>SUM(O72:O82,O66,O60,O54,O48,O42,O36)</f>
        <v>40759.37764398998</v>
      </c>
      <c r="P88" s="19">
        <f>SUM(P72:P82,P66,P60,P54,P48,P42,P36)</f>
        <v>58784.37764398998</v>
      </c>
      <c r="Q88" s="19">
        <f>SUM(Q72:Q82,Q66,Q60,Q54,Q48,Q42,Q36)</f>
        <v>43384.37764398998</v>
      </c>
      <c r="R88" s="19">
        <f>SUM(R72:R82,R66,R60,R54,R48,R42,R36)</f>
        <v>41634.37764398998</v>
      </c>
      <c r="S88" s="19">
        <f>SUM(S72:S82,S66,S60,S54,S48,S42,S36)</f>
        <v>33311.37764398998</v>
      </c>
      <c r="T88" s="19">
        <f>SUM(T72:T82,T66,T60,T54,T48,T42,T36)</f>
        <v>46859.37764398998</v>
      </c>
      <c r="U88" s="19">
        <f>SUM(U72:U82,U66,U60,U54,U48,U42,U36)</f>
        <v>40759.37764398998</v>
      </c>
      <c r="V88" s="19">
        <f>SUM(V72:V82,V66,V60,V54,V48,V42,V36)</f>
        <v>38784.37764398998</v>
      </c>
      <c r="W88" s="19">
        <f>SUM(W72:W82,W66,W60,W54,W48,W42,W36)</f>
        <v>43384.37764398998</v>
      </c>
      <c r="X88" s="19">
        <f>SUM(X72:X82,X66,X60,X54,X48,X42,X36)</f>
        <v>36634.37764398998</v>
      </c>
      <c r="Y88" s="19">
        <f>SUM(Y72:Y82,Y66,Y60,Y54,Y48,Y42,Y36)</f>
        <v>33311.37764398998</v>
      </c>
      <c r="Z88" s="19">
        <f>SUMIF($B$13:$Y$13,"Yes",B88:Y88)</f>
        <v>593268.6203491931</v>
      </c>
      <c r="AA88" s="19">
        <f>SUM(B88:M88)</f>
        <v>505649.8650612131</v>
      </c>
      <c r="AB88" s="19">
        <f>SUM(B88:Y88)</f>
        <v>1010116.396789093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150000</v>
      </c>
    </row>
    <row r="95" spans="1:30">
      <c r="A95" t="s">
        <v>61</v>
      </c>
      <c r="B95" s="36">
        <f>Inputs!B47</f>
        <v>120000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35000</v>
      </c>
    </row>
    <row r="100" spans="1:30" customHeight="1" ht="15.75">
      <c r="A100" s="18" t="s">
        <v>66</v>
      </c>
      <c r="B100" s="37">
        <f>Inputs!B48</f>
        <v>20000</v>
      </c>
    </row>
    <row r="101" spans="1:30" customHeight="1" ht="15.75">
      <c r="A101" s="1" t="s">
        <v>67</v>
      </c>
      <c r="B101" s="19">
        <f>SUM(B94:B100)</f>
        <v>325000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20000</v>
      </c>
    </row>
    <row r="105" spans="1:30">
      <c r="A105" t="s">
        <v>70</v>
      </c>
      <c r="B105" s="36">
        <f>SUM(Inputs!B56:B60)</f>
        <v>1000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121000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2.5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1</v>
      </c>
      <c r="P7" s="41"/>
    </row>
    <row r="8" spans="1:48">
      <c r="A8" s="143" t="s">
        <v>95</v>
      </c>
      <c r="B8" s="16"/>
      <c r="C8" s="143">
        <v>1.5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10</v>
      </c>
      <c r="N8" s="154">
        <v>1</v>
      </c>
    </row>
    <row r="9" spans="1:48">
      <c r="A9" s="143" t="s">
        <v>97</v>
      </c>
      <c r="B9" s="16"/>
      <c r="C9" s="143">
        <v>0.5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98</v>
      </c>
      <c r="K9" s="138"/>
      <c r="L9" s="16"/>
      <c r="M9" s="165">
        <v>10</v>
      </c>
      <c r="N9" s="154">
        <v>1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100</v>
      </c>
      <c r="B18" s="10" t="s">
        <v>101</v>
      </c>
      <c r="C18" s="10" t="s">
        <v>102</v>
      </c>
      <c r="D18" s="10" t="s">
        <v>103</v>
      </c>
      <c r="E18" s="10" t="s">
        <v>104</v>
      </c>
      <c r="F18" s="10" t="s">
        <v>105</v>
      </c>
      <c r="G18" s="10" t="s">
        <v>106</v>
      </c>
      <c r="H18" s="10" t="s">
        <v>107</v>
      </c>
      <c r="I18" s="10" t="s">
        <v>108</v>
      </c>
      <c r="J18" s="10" t="s">
        <v>109</v>
      </c>
      <c r="K18" s="10" t="s">
        <v>110</v>
      </c>
      <c r="L18" s="10" t="s">
        <v>111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80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30000</v>
      </c>
    </row>
    <row r="31" spans="1:48">
      <c r="A31" s="5" t="s">
        <v>118</v>
      </c>
      <c r="B31" s="158">
        <v>10000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126</v>
      </c>
    </row>
    <row r="41" spans="1:48">
      <c r="A41" s="55" t="s">
        <v>127</v>
      </c>
      <c r="B41" s="140">
        <v>20000</v>
      </c>
    </row>
    <row r="42" spans="1:48">
      <c r="A42" s="55" t="s">
        <v>128</v>
      </c>
      <c r="B42" s="139" t="s">
        <v>129</v>
      </c>
    </row>
    <row r="43" spans="1:48">
      <c r="A43" s="55" t="s">
        <v>130</v>
      </c>
      <c r="B43" s="160" t="s">
        <v>131</v>
      </c>
    </row>
    <row r="44" spans="1:48">
      <c r="A44" s="56" t="s">
        <v>132</v>
      </c>
      <c r="B44" s="160" t="s">
        <v>126</v>
      </c>
    </row>
    <row r="45" spans="1:48">
      <c r="A45" s="56" t="s">
        <v>133</v>
      </c>
      <c r="B45" s="161"/>
    </row>
    <row r="46" spans="1:48" customHeight="1" ht="30">
      <c r="A46" s="57" t="s">
        <v>134</v>
      </c>
      <c r="B46" s="161">
        <v>35000</v>
      </c>
    </row>
    <row r="47" spans="1:48" customHeight="1" ht="30">
      <c r="A47" s="57" t="s">
        <v>135</v>
      </c>
      <c r="B47" s="161">
        <v>120000</v>
      </c>
    </row>
    <row r="48" spans="1:48" customHeight="1" ht="30">
      <c r="A48" s="57" t="s">
        <v>136</v>
      </c>
      <c r="B48" s="161">
        <v>20000</v>
      </c>
    </row>
    <row r="49" spans="1:48" customHeight="1" ht="30">
      <c r="A49" s="57" t="s">
        <v>137</v>
      </c>
      <c r="B49" s="161">
        <v>150000</v>
      </c>
    </row>
    <row r="50" spans="1:48">
      <c r="A50" s="43"/>
      <c r="B50" s="36"/>
    </row>
    <row r="51" spans="1:48">
      <c r="A51" s="58" t="s">
        <v>138</v>
      </c>
      <c r="B51" s="161">
        <v>20000</v>
      </c>
    </row>
    <row r="52" spans="1:48">
      <c r="A52" s="43"/>
    </row>
    <row r="53" spans="1:48">
      <c r="A53" s="3" t="s">
        <v>139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140</v>
      </c>
      <c r="B55" s="10" t="s">
        <v>141</v>
      </c>
      <c r="C55" s="10" t="s">
        <v>142</v>
      </c>
      <c r="D55" s="10" t="s">
        <v>143</v>
      </c>
      <c r="E55" s="10" t="s">
        <v>144</v>
      </c>
      <c r="F55" s="10" t="s">
        <v>145</v>
      </c>
    </row>
    <row r="56" spans="1:48">
      <c r="A56" s="159">
        <v>2500</v>
      </c>
      <c r="B56" s="159">
        <v>1000</v>
      </c>
      <c r="C56" s="162" t="s">
        <v>146</v>
      </c>
      <c r="D56" s="163" t="s">
        <v>147</v>
      </c>
      <c r="E56" s="163" t="s">
        <v>92</v>
      </c>
      <c r="F56" s="163" t="s">
        <v>148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150</v>
      </c>
      <c r="C65" s="10" t="s">
        <v>151</v>
      </c>
    </row>
    <row r="66" spans="1:48">
      <c r="A66" s="142" t="s">
        <v>152</v>
      </c>
      <c r="B66" s="159">
        <v>62895</v>
      </c>
      <c r="C66" s="163">
        <v>120000</v>
      </c>
      <c r="D66" s="49">
        <f>INDEX(Parameters!$D$79:$D$90,MATCH(Inputs!A66,Parameters!$C$79:$C$90,0))</f>
        <v>10</v>
      </c>
    </row>
    <row r="67" spans="1:48">
      <c r="A67" s="143" t="s">
        <v>98</v>
      </c>
      <c r="B67" s="157">
        <v>93437</v>
      </c>
      <c r="C67" s="165">
        <v>94739</v>
      </c>
      <c r="D67" s="49">
        <f>INDEX(Parameters!$D$79:$D$90,MATCH(Inputs!A67,Parameters!$C$79:$C$90,0))</f>
        <v>11</v>
      </c>
    </row>
    <row r="68" spans="1:48">
      <c r="A68" s="143" t="s">
        <v>96</v>
      </c>
      <c r="B68" s="157">
        <v>117895</v>
      </c>
      <c r="C68" s="165">
        <v>116543</v>
      </c>
      <c r="D68" s="49">
        <f>INDEX(Parameters!$D$79:$D$90,MATCH(Inputs!A68,Parameters!$C$79:$C$90,0))</f>
        <v>12</v>
      </c>
    </row>
    <row r="69" spans="1:48">
      <c r="A69" s="143" t="s">
        <v>129</v>
      </c>
      <c r="B69" s="157">
        <v>197698</v>
      </c>
      <c r="C69" s="165">
        <v>198112</v>
      </c>
      <c r="D69" s="49">
        <f>INDEX(Parameters!$D$79:$D$90,MATCH(Inputs!A69,Parameters!$C$79:$C$90,0))</f>
        <v>1</v>
      </c>
    </row>
    <row r="70" spans="1:48">
      <c r="A70" s="143" t="s">
        <v>153</v>
      </c>
      <c r="B70" s="157">
        <v>60060</v>
      </c>
      <c r="C70" s="165">
        <v>20000</v>
      </c>
      <c r="D70" s="49">
        <f>INDEX(Parameters!$D$79:$D$90,MATCH(Inputs!A70,Parameters!$C$79:$C$90,0))</f>
        <v>2</v>
      </c>
    </row>
    <row r="71" spans="1:48">
      <c r="A71" s="144" t="s">
        <v>94</v>
      </c>
      <c r="B71" s="158">
        <v>143755</v>
      </c>
      <c r="C71" s="167">
        <v>15000</v>
      </c>
      <c r="D71" s="49">
        <f>INDEX(Parameters!$D$79:$D$90,MATCH(Inputs!A71,Parameters!$C$79:$C$90,0))</f>
        <v>3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11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100000</v>
      </c>
    </row>
    <row r="82" spans="1:48">
      <c r="A82" t="s">
        <v>163</v>
      </c>
      <c r="B82" s="161">
        <v>20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12</v>
      </c>
    </row>
    <row r="86" spans="1:48">
      <c r="A86" t="s">
        <v>168</v>
      </c>
      <c r="B86" s="161"/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Other crops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43160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2.5</v>
      </c>
      <c r="I4" s="137" t="str">
        <f>IFERROR(VLOOKUP(Inputs!E7,Parameters!$J$77:$K$81,2,0),"")</f>
        <v>Yes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5000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15000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Tomatoes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43070</v>
      </c>
      <c r="C5" s="39">
        <f>IFERROR(DATE(YEAR(B5),MONTH(B5)+ROUND(T5/2,0),DAY(B5)),B5)</f>
        <v>43132</v>
      </c>
      <c r="D5" s="39">
        <f>IFERROR(DATE(YEAR(B5),MONTH(B5)+T5,DAY(B5)),"")</f>
        <v>43160</v>
      </c>
      <c r="E5" s="39">
        <f>IFERROR(IF($S5=0,"",IF($S5=2,DATE(YEAR(B5),MONTH(B5)+6,DAY(B5)),IF($S5=1,B5,""))),"")</f>
        <v>43252</v>
      </c>
      <c r="F5" s="39">
        <f>IFERROR(IF($S5=0,"",IF($S5=2,DATE(YEAR(C5),MONTH(C5)+6,DAY(C5)),IF($S5=1,C5,""))),"")</f>
        <v>43313</v>
      </c>
      <c r="G5" s="39">
        <f>IFERROR(IF($S5=0,"",IF($S5=2,DATE(YEAR(D5),MONTH(D5)+6,DAY(D5)),IF($S5=1,D5,""))),"")</f>
        <v>43344</v>
      </c>
      <c r="H5" s="16">
        <f>Inputs!C8</f>
        <v>1.5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5056.15387098665</v>
      </c>
      <c r="M5" s="30">
        <f>L5*H5</f>
        <v>7584.230806479974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35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477806.5408082384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1125</v>
      </c>
      <c r="W5" s="34">
        <f>IFERROR(J5*H5*Parameters!$B$35+IF(OR(Inputs!F8=Parameters!$E$78,Inputs!F8=Parameters!$E$80),Calculations!H5*Parameters!$B$36,0),0)</f>
        <v>3000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6750</v>
      </c>
      <c r="Z5" s="34">
        <f>IF(Inputs!I8=Parameters!$F$78,H5*INDEX(Parameters!$A$3:$AI$18,MATCH(Calculations!A5,Parameters!$A$3:$A$18,0),MATCH(Parameters!$Q$3,Parameters!$A$3:$AI$3,0)),0)</f>
        <v>9000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10500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Potatoes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43040</v>
      </c>
      <c r="C6" s="39">
        <f>IFERROR(DATE(YEAR(B6),MONTH(B6)+ROUND(T6/2,0),DAY(B6)),B6)</f>
        <v>43101</v>
      </c>
      <c r="D6" s="39">
        <f>IFERROR(DATE(YEAR(B6),MONTH(B6)+T6,DAY(B6)),"")</f>
        <v>43160</v>
      </c>
      <c r="E6" s="39">
        <f>IFERROR(IF($S6=0,"",IF($S6=2,DATE(YEAR(B6),MONTH(B6)+6,DAY(B6)),IF($S6=1,B6,""))),"")</f>
        <v>43221</v>
      </c>
      <c r="F6" s="39">
        <f>IFERROR(IF($S6=0,"",IF($S6=2,DATE(YEAR(C6),MONTH(C6)+6,DAY(C6)),IF($S6=1,C6,""))),"")</f>
        <v>43282</v>
      </c>
      <c r="G6" s="39">
        <f>IFERROR(IF($S6=0,"",IF($S6=2,DATE(YEAR(D6),MONTH(D6)+6,DAY(D6)),IF($S6=1,D6,""))),"")</f>
        <v>43344</v>
      </c>
      <c r="H6" s="16">
        <f>Inputs!C9</f>
        <v>0.5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200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8558.01473327987</v>
      </c>
      <c r="M6" s="30">
        <f>L6*H6</f>
        <v>4279.007366639935</v>
      </c>
      <c r="N6" s="22">
        <f>Calculations!U6</f>
        <v>0.1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11.2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86264.78851146108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4</v>
      </c>
      <c r="U6" s="22">
        <f>Inputs!M9/100</f>
        <v>0.1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12000</v>
      </c>
      <c r="W6" s="34">
        <f>IFERROR(J6*H6*Parameters!$B$35+IF(OR(Inputs!F9=Parameters!$E$78,Inputs!F9=Parameters!$E$80),Calculations!H6*Parameters!$B$36,0),0)</f>
        <v>1000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2150</v>
      </c>
      <c r="Z6" s="34">
        <f>IF(Inputs!I9=Parameters!$F$78,H6*INDEX(Parameters!$A$3:$AI$18,MATCH(Calculations!A6,Parameters!$A$3:$A$18,0),MATCH(Parameters!$Q$3,Parameters!$A$3:$AI$3,0)),0)</f>
        <v>2500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1200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100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140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52">
      <c r="A23" s="75">
        <f>Inputs!A56</f>
        <v>2500</v>
      </c>
      <c r="B23" s="75">
        <f>SUM(C23:D23)</f>
        <v>321.9069529652352</v>
      </c>
      <c r="C23" s="75">
        <f>IF(Inputs!B56&gt;0,(Inputs!A56-Inputs!B56)/(DATE(YEAR(Inputs!$B$76),MONTH(Inputs!$B$76),DAY(Inputs!$B$76))-DATE(YEAR(Inputs!C56),MONTH(Inputs!C56),DAY(Inputs!C56)))*30,0)</f>
        <v>276.0736196319019</v>
      </c>
      <c r="D23" s="75">
        <f>IF(Inputs!B56&gt;0,Inputs!A56*0.22/12,0)</f>
        <v>45.83333333333334</v>
      </c>
      <c r="E23" s="75">
        <f>IFERROR(ROUNDUP(Inputs!B56/C23,0),0)</f>
        <v>4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Kiambu</v>
      </c>
    </row>
    <row r="33" spans="1:52">
      <c r="A33">
        <v>1</v>
      </c>
      <c r="B33" s="128">
        <f>G34</f>
        <v>43101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43101</v>
      </c>
      <c r="F33" t="s">
        <v>159</v>
      </c>
      <c r="G33" s="128">
        <f>IF(Inputs!B79="","",DATE(YEAR(Inputs!B79),MONTH(Inputs!B79),DAY(Inputs!B79)))</f>
        <v>43060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43132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43132</v>
      </c>
      <c r="F34" t="s">
        <v>160</v>
      </c>
      <c r="G34" s="128">
        <f>IF(Inputs!B80="","",DATE(YEAR(Inputs!B80),MONTH(Inputs!B80),DAY(Inputs!B80)))</f>
        <v>43101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43160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43160</v>
      </c>
      <c r="F35" t="s">
        <v>162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43191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43191</v>
      </c>
      <c r="F36" t="s">
        <v>163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43221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43221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43252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43252</v>
      </c>
      <c r="F38" t="s">
        <v>225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43282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43282</v>
      </c>
      <c r="F39" t="s">
        <v>168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43313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43313</v>
      </c>
      <c r="F40" t="s">
        <v>169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43344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43344</v>
      </c>
      <c r="F41" t="s">
        <v>226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43374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43374</v>
      </c>
      <c r="F42" t="s">
        <v>227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43405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43435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260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97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95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100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200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295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298</v>
      </c>
      <c r="B26" s="16" t="s">
        <v>294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294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300</v>
      </c>
      <c r="B28" s="71" t="s">
        <v>294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294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100</v>
      </c>
      <c r="B41" s="191" t="s">
        <v>126</v>
      </c>
      <c r="C41" s="191" t="s">
        <v>92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295</v>
      </c>
      <c r="B44" s="72">
        <v>50000</v>
      </c>
      <c r="C44" s="72">
        <v>200000</v>
      </c>
    </row>
    <row r="45" spans="1:36">
      <c r="A45" t="s">
        <v>298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300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270</v>
      </c>
      <c r="E52" s="12" t="s">
        <v>270</v>
      </c>
      <c r="F52" s="12" t="s">
        <v>270</v>
      </c>
      <c r="G52" s="12" t="s">
        <v>312</v>
      </c>
      <c r="H52" s="12" t="s">
        <v>313</v>
      </c>
      <c r="I52" s="12" t="s">
        <v>131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228</v>
      </c>
      <c r="E53" s="10" t="s">
        <v>187</v>
      </c>
      <c r="F53" s="10" t="s">
        <v>247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126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126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126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126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126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126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126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165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224</v>
      </c>
      <c r="J76" s="11" t="s">
        <v>346</v>
      </c>
      <c r="K76" s="11" t="s">
        <v>177</v>
      </c>
      <c r="AJ76" s="12"/>
    </row>
    <row r="77" spans="1:36">
      <c r="A77" t="s">
        <v>92</v>
      </c>
      <c r="B77" s="176">
        <v>0</v>
      </c>
      <c r="C77" s="12" t="s">
        <v>347</v>
      </c>
      <c r="E77" s="12" t="s">
        <v>126</v>
      </c>
      <c r="F77" s="12" t="s">
        <v>126</v>
      </c>
      <c r="G77" s="12" t="s">
        <v>348</v>
      </c>
      <c r="H77" s="12" t="s">
        <v>313</v>
      </c>
      <c r="I77" s="12" t="s">
        <v>349</v>
      </c>
      <c r="J77" s="136" t="s">
        <v>350</v>
      </c>
      <c r="K77" s="12" t="s">
        <v>126</v>
      </c>
      <c r="AJ77" s="12"/>
    </row>
    <row r="78" spans="1:36">
      <c r="A78" t="s">
        <v>126</v>
      </c>
      <c r="B78" s="176">
        <v>5</v>
      </c>
      <c r="C78" s="134" t="s">
        <v>351</v>
      </c>
      <c r="D78" s="133"/>
      <c r="E78" s="12" t="s">
        <v>352</v>
      </c>
      <c r="F78" s="12" t="s">
        <v>93</v>
      </c>
      <c r="G78" s="12" t="s">
        <v>353</v>
      </c>
      <c r="H78" s="12" t="s">
        <v>131</v>
      </c>
      <c r="I78" s="12" t="s">
        <v>354</v>
      </c>
      <c r="J78" s="70" t="s">
        <v>355</v>
      </c>
      <c r="K78" s="12" t="s">
        <v>126</v>
      </c>
      <c r="AJ78" s="12"/>
    </row>
    <row r="79" spans="1:36">
      <c r="B79" s="176">
        <v>10</v>
      </c>
      <c r="C79" s="12" t="s">
        <v>129</v>
      </c>
      <c r="D79" s="12">
        <v>1</v>
      </c>
      <c r="E79" s="12" t="s">
        <v>356</v>
      </c>
      <c r="F79" s="12" t="s">
        <v>357</v>
      </c>
      <c r="G79" s="12" t="s">
        <v>358</v>
      </c>
      <c r="I79" s="12" t="s">
        <v>165</v>
      </c>
      <c r="J79" s="70" t="s">
        <v>359</v>
      </c>
      <c r="K79" s="12" t="s">
        <v>126</v>
      </c>
      <c r="AJ79" s="12"/>
    </row>
    <row r="80" spans="1:36">
      <c r="B80" s="176">
        <v>20</v>
      </c>
      <c r="C80" s="12" t="s">
        <v>153</v>
      </c>
      <c r="D80" s="12">
        <f>D79+1</f>
        <v>2</v>
      </c>
      <c r="E80" s="12" t="s">
        <v>91</v>
      </c>
      <c r="F80" s="12" t="s">
        <v>360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365</v>
      </c>
      <c r="D85" s="12">
        <f>D84+1</f>
        <v>7</v>
      </c>
    </row>
    <row r="86" spans="1:36">
      <c r="B86" s="176">
        <v>80</v>
      </c>
      <c r="C86" s="12" t="s">
        <v>366</v>
      </c>
      <c r="D86" s="12">
        <f>D85+1</f>
        <v>8</v>
      </c>
    </row>
    <row r="87" spans="1:36">
      <c r="B87" s="176">
        <v>89.99999999999999</v>
      </c>
      <c r="C87" s="12" t="s">
        <v>367</v>
      </c>
      <c r="D87" s="12">
        <f>D86+1</f>
        <v>9</v>
      </c>
    </row>
    <row r="88" spans="1:36">
      <c r="B88" s="176">
        <v>99.99999999999999</v>
      </c>
      <c r="C88" s="12" t="s">
        <v>152</v>
      </c>
      <c r="D88" s="12">
        <f>D87+1</f>
        <v>10</v>
      </c>
    </row>
    <row r="89" spans="1:36">
      <c r="C89" s="12" t="s">
        <v>98</v>
      </c>
      <c r="D89" s="12">
        <f>D88+1</f>
        <v>11</v>
      </c>
    </row>
    <row r="90" spans="1:36">
      <c r="C90" s="12" t="s">
        <v>96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