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<sst xmlns="http://schemas.openxmlformats.org/spreadsheetml/2006/main" uniqueCount="365">
  <si>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</si>
  <si>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</si>
  <si>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</si>
  <si>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</si>
  <si>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</si>
  <si>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</si>
  <si>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</si>
  <si>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</si>
  <si>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</si>
  <si>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</si>
  <si>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</si>
  <si>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</si>
  <si>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</si>
  <si>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</si>
  <si>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</si>
  <si>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</si>
  <si>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</si>
  <si>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</si>
  <si>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</si>
  <si>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</si>
  <si>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</si>
  <si>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</si>
  <si>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</si>
  <si>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</si>
  <si>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</si>
  <si>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</si>
  <si>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</si>
  <si>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</si>
  <si>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</si>
  <si>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</si>
  <si>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</si>
  <si>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</si>
  <si>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</si>
  <si>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</si>
  <si>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</si>
  <si>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</si>
  <si>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</si>
  <si>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</si>
  <si>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</si>
  <si>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</si>
  <si>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</si>
  <si>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</si>
  <si>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</si>
  <si>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</si>
  <si>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</si>
  <si>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</si>
  <si>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</si>
  <si>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</si>
  <si>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</si>
  <si>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</si>
  <si>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</si>
  <si>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</si>
  <si>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</si>
  <si>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</si>
  <si>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</si>
  <si>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</si>
  <si>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</si>
  <si>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</si>
  <si>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</si>
  <si>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</si>
  <si>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</si>
  <si>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</si>
  <si>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</si>
  <si>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</si>
  <si>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</si>
  <si>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</si>
  <si>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</si>
  <si>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</si>
  <si>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</si>
  <si>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</si>
  <si>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</si>
  <si>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</si>
  <si>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</si>
  <si>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</si>
  <si>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</si>
  <si>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</si>
  <si>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</si>
  <si>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</si>
  <si>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</si>
  <si>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</si>
  <si>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</si>
  <si>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</si>
  <si>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</si>
  <si>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</si>
  <si>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</si>
  <si>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</si>
  <si>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</si>
  <si>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</si>
  <si>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</si>
  <si>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</si>
  <si>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</si>
  <si>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both manure and inorganic</t>
  </si>
  <si>
    <t>Yes</t>
  </si>
  <si>
    <t>Yes using a diesel pump</t>
  </si>
  <si>
    <t>January</t>
  </si>
  <si>
    <t>Maize</t>
  </si>
  <si>
    <t>Onions</t>
  </si>
  <si>
    <t>Potatoes</t>
  </si>
  <si>
    <t>Shop_common variety</t>
  </si>
  <si>
    <t>Cabbages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</si>
  <si>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</si>
  <si>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</si>
  <si>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</si>
  <si>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</si>
  <si>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</si>
  <si>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</si>
  <si>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</si>
  <si>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</si>
  <si>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</si>
  <si>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</si>
  <si>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</si>
  <si>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</si>
  <si>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</si>
  <si>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</si>
  <si>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</si>
  <si>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</si>
  <si>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No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</si>
  <si>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</si>
  <si>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</si>
  <si>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</si>
  <si>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</si>
  <si>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</si>
  <si>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</si>
  <si>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botique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</si>
  <si>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</si>
  <si>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</si>
  <si>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</si>
  <si>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</si>
  <si>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</si>
  <si>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</si>
  <si>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</si>
  <si>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</si>
  <si>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</si>
  <si>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</si>
  <si>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</si>
  <si>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</si>
  <si>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</si>
  <si>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</si>
  <si>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</si>
  <si>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</si>
  <si>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</si>
  <si>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</si>
  <si>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</si>
  <si>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</si>
  <si>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</si>
  <si>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</si>
  <si>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</si>
  <si>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</si>
  <si>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</si>
  <si>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</si>
  <si>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</si>
  <si>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</si>
  <si>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</si>
  <si>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</si>
  <si>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May</t>
  </si>
  <si>
    <t>June</t>
  </si>
  <si>
    <t>July</t>
  </si>
  <si>
    <t>August</t>
  </si>
  <si>
    <t>September</t>
  </si>
  <si>
    <t>October</t>
  </si>
  <si>
    <t>Loan info</t>
  </si>
  <si>
    <t>Branch ID</t>
  </si>
  <si>
    <t>Submission date</t>
  </si>
  <si>
    <t>2017/11/22</t>
  </si>
  <si>
    <t>Loan terms</t>
  </si>
  <si>
    <t>Expected disbursement date</t>
  </si>
  <si>
    <t>Expected first repayment date</t>
  </si>
  <si>
    <t>2018/1/1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</si>
  <si>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</si>
  <si>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</si>
  <si>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</si>
  <si>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</si>
  <si>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</si>
  <si>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</si>
  <si>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</si>
  <si>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</si>
  <si>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</si>
  <si>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</si>
  <si>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</si>
  <si>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</si>
  <si>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</si>
  <si>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</si>
  <si>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</si>
  <si>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</si>
  <si>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</si>
  <si>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</si>
  <si>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</si>
  <si>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</si>
  <si>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</si>
  <si>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</si>
  <si>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</si>
  <si>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</si>
  <si>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</si>
  <si>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</si>
  <si>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</si>
  <si>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</si>
  <si>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</si>
  <si>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</si>
  <si>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</si>
  <si>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</si>
  <si>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</si>
  <si>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</si>
  <si>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</si>
  <si>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</si>
  <si>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</si>
  <si>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</si>
  <si>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</si>
  <si>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</si>
  <si>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</si>
  <si>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</si>
  <si>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</si>
  <si>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</si>
  <si>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</si>
  <si>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</si>
  <si>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</si>
  <si>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</si>
  <si>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</si>
  <si>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</si>
  <si>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</si>
  <si>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</si>
  <si>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</si>
  <si>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</si>
  <si>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</si>
  <si>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</si>
  <si>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</si>
  <si>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</si>
  <si>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</si>
  <si>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</si>
  <si>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</si>
  <si>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</si>
  <si>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</si>
  <si>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</si>
  <si>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</si>
  <si>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</si>
  <si>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</si>
  <si>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</si>
  <si>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</si>
  <si>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</si>
  <si>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</si>
  <si>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</si>
  <si>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</si>
  <si>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</si>
  <si>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</si>
  <si>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</si>
  <si>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</si>
  <si>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</si>
  <si>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</si>
  <si>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</si>
  <si>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</si>
  <si>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</si>
  <si>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</si>
  <si>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</si>
  <si>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</si>
  <si>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</si>
  <si>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</si>
  <si>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</si>
  <si>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</si>
  <si>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</si>
  <si>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</si>
  <si>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</si>
  <si>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</si>
  <si>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</si>
  <si>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</si>
  <si>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</si>
  <si>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</si>
  <si>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</si>
  <si>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</si>
  <si>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</si>
  <si>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</si>
  <si>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</si>
  <si>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Carrots</t>
  </si>
  <si>
    <t>Cassava</t>
  </si>
  <si>
    <t>Cuttings</t>
  </si>
  <si>
    <t>Coffee</t>
  </si>
  <si>
    <t>Mangoes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</si>
  <si>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</si>
  <si>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</si>
  <si>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</si>
  <si>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</si>
  <si>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</si>
  <si>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</si>
  <si>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</si>
  <si>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</si>
  <si>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</si>
  <si>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</si>
  <si>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</si>
  <si>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</si>
  <si>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</si>
  <si>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</si>
  <si>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</si>
  <si>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</si>
  <si>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</si>
  <si>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</si>
  <si>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</si>
  <si>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</si>
  <si>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</si>
  <si>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</si>
  <si>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</si>
  <si>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</si>
  <si>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</si>
  <si>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</si>
  <si>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</si>
  <si>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</si>
  <si>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</si>
  <si>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</si>
  <si>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</si>
  <si>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</si>
  <si>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</si>
  <si>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</si>
  <si>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</si>
  <si>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</si>
  <si>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</si>
  <si>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</si>
  <si>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</si>
  <si>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</si>
  <si>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</si>
  <si>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</si>
  <si>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</si>
  <si>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</si>
  <si>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</si>
  <si>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</si>
  <si>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</si>
  <si>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</si>
  <si>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</si>
  <si>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</si>
  <si>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</si>
  <si>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</si>
  <si>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</si>
  <si>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</si>
  <si>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</si>
  <si>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</si>
  <si>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</si>
  <si>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</si>
  <si>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</si>
  <si>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</si>
  <si>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</si>
  <si>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</si>
  <si>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</si>
  <si>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</si>
  <si>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</si>
  <si>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</si>
  <si>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</si>
  <si>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</si>
  <si>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</si>
  <si>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</si>
  <si>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</si>
  <si>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</si>
  <si>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</si>
  <si>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</si>
  <si>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</si>
  <si>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</si>
  <si>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</si>
  <si>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</si>
  <si>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</si>
  <si>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</si>
  <si>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</si>
  <si>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</si>
  <si>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</si>
  <si>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February</t>
  </si>
  <si>
    <t>Yes without the use of a pump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</si>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</sst>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Onions, Potatoes, Cabbages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Cows_beef, Sheep, Chicken: sale of ex layers</v>
      </c>
    </row>
    <row r="8" spans="1:7">
      <c r="B8" s="1" t="s">
        <v>4</v>
      </c>
      <c r="C8" t="str">
        <f>IF(Inputs!B29="","None",Inputs!B29)</f>
        <v>botique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0.06754845504636522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0.01170617500731636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2432658.270769281</v>
      </c>
    </row>
    <row r="18" spans="1:7">
      <c r="B18" s="1" t="s">
        <v>12</v>
      </c>
      <c r="C18" s="36">
        <f>MIN(Output!B6:M6)</f>
        <v>33323.3460683733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513893.1091507489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406453.6419603982</v>
      </c>
      <c r="C6" s="51">
        <f>C30-C88</f>
        <v>513893.1091507489</v>
      </c>
      <c r="D6" s="51">
        <f>D30-D88</f>
        <v>33323.3460683733</v>
      </c>
      <c r="E6" s="51">
        <f>E30-E88</f>
        <v>96186.3460683733</v>
      </c>
      <c r="F6" s="51">
        <f>F30-F88</f>
        <v>74286.3460683733</v>
      </c>
      <c r="G6" s="51">
        <f>G30-G88</f>
        <v>92186.3460683733</v>
      </c>
      <c r="H6" s="51">
        <f>H30-H88</f>
        <v>406453.6419603982</v>
      </c>
      <c r="I6" s="51">
        <f>I30-I88</f>
        <v>513893.1091507489</v>
      </c>
      <c r="J6" s="51">
        <f>J30-J88</f>
        <v>33323.3460683733</v>
      </c>
      <c r="K6" s="51">
        <f>K30-K88</f>
        <v>96186.3460683733</v>
      </c>
      <c r="L6" s="51">
        <f>L30-L88</f>
        <v>74286.3460683733</v>
      </c>
      <c r="M6" s="51">
        <f>M30-M88</f>
        <v>92186.3460683733</v>
      </c>
      <c r="N6" s="51">
        <f>N30-N88</f>
        <v>406453.6419603982</v>
      </c>
      <c r="O6" s="51">
        <f>O30-O88</f>
        <v>513893.1091507489</v>
      </c>
      <c r="P6" s="51">
        <f>P30-P88</f>
        <v>33323.3460683733</v>
      </c>
      <c r="Q6" s="51">
        <f>Q30-Q88</f>
        <v>96186.3460683733</v>
      </c>
      <c r="R6" s="51">
        <f>R30-R88</f>
        <v>74286.3460683733</v>
      </c>
      <c r="S6" s="51">
        <f>S30-S88</f>
        <v>92186.3460683733</v>
      </c>
      <c r="T6" s="51">
        <f>T30-T88</f>
        <v>631453.6419603983</v>
      </c>
      <c r="U6" s="51">
        <f>U30-U88</f>
        <v>513893.1091507489</v>
      </c>
      <c r="V6" s="51">
        <f>V30-V88</f>
        <v>33323.3460683733</v>
      </c>
      <c r="W6" s="51">
        <f>W30-W88</f>
        <v>96186.3460683733</v>
      </c>
      <c r="X6" s="51">
        <f>X30-X88</f>
        <v>74286.3460683733</v>
      </c>
      <c r="Y6" s="51">
        <f>Y30-Y88</f>
        <v>92186.3460683733</v>
      </c>
      <c r="Z6" s="51">
        <f>SUMIF($B$13:$Y$13,"Yes",B6:Y6)</f>
        <v>3353005.021880428</v>
      </c>
      <c r="AA6" s="51">
        <f>AA30-AA88</f>
        <v>2432658.270769282</v>
      </c>
      <c r="AB6" s="51">
        <f>AB30-AB88</f>
        <v>5090316.541538569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20000</v>
      </c>
      <c r="I7" s="80">
        <f>IF(ISERROR(VLOOKUP(MONTH(I5),Inputs!$D$66:$D$71,1,0)),"",INDEX(Inputs!$B$66:$B$71,MATCH(MONTH(Output!I5),Inputs!$D$66:$D$71,0))-INDEX(Inputs!$C$66:$C$71,MATCH(MONTH(Output!I5),Inputs!$D$66:$D$71,0)))</f>
        <v>-7564</v>
      </c>
      <c r="J7" s="80">
        <f>IF(ISERROR(VLOOKUP(MONTH(J5),Inputs!$D$66:$D$71,1,0)),"",INDEX(Inputs!$B$66:$B$71,MATCH(MONTH(Output!J5),Inputs!$D$66:$D$71,0))-INDEX(Inputs!$C$66:$C$71,MATCH(MONTH(Output!J5),Inputs!$D$66:$D$71,0)))</f>
        <v>4458</v>
      </c>
      <c r="K7" s="80">
        <f>IF(ISERROR(VLOOKUP(MONTH(K5),Inputs!$D$66:$D$71,1,0)),"",INDEX(Inputs!$B$66:$B$71,MATCH(MONTH(Output!K5),Inputs!$D$66:$D$71,0))-INDEX(Inputs!$C$66:$C$71,MATCH(MONTH(Output!K5),Inputs!$D$66:$D$71,0)))</f>
        <v>41968</v>
      </c>
      <c r="L7" s="80">
        <f>IF(ISERROR(VLOOKUP(MONTH(L5),Inputs!$D$66:$D$71,1,0)),"",INDEX(Inputs!$B$66:$B$71,MATCH(MONTH(Output!L5),Inputs!$D$66:$D$71,0))-INDEX(Inputs!$C$66:$C$71,MATCH(MONTH(Output!L5),Inputs!$D$66:$D$71,0)))</f>
        <v>3178</v>
      </c>
      <c r="M7" s="80">
        <f>IF(ISERROR(VLOOKUP(MONTH(M5),Inputs!$D$66:$D$71,1,0)),"",INDEX(Inputs!$B$66:$B$71,MATCH(MONTH(Output!M5),Inputs!$D$66:$D$71,0))-INDEX(Inputs!$C$66:$C$71,MATCH(MONTH(Output!M5),Inputs!$D$66:$D$71,0)))</f>
        <v>2971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20000</v>
      </c>
      <c r="U7" s="80">
        <f>IF(ISERROR(VLOOKUP(MONTH(U5),Inputs!$D$66:$D$71,1,0)),"",INDEX(Inputs!$B$66:$B$71,MATCH(MONTH(Output!U5),Inputs!$D$66:$D$71,0))-INDEX(Inputs!$C$66:$C$71,MATCH(MONTH(Output!U5),Inputs!$D$66:$D$71,0)))</f>
        <v>-7564</v>
      </c>
      <c r="V7" s="80">
        <f>IF(ISERROR(VLOOKUP(MONTH(V5),Inputs!$D$66:$D$71,1,0)),"",INDEX(Inputs!$B$66:$B$71,MATCH(MONTH(Output!V5),Inputs!$D$66:$D$71,0))-INDEX(Inputs!$C$66:$C$71,MATCH(MONTH(Output!V5),Inputs!$D$66:$D$71,0)))</f>
        <v>4458</v>
      </c>
      <c r="W7" s="80">
        <f>IF(ISERROR(VLOOKUP(MONTH(W5),Inputs!$D$66:$D$71,1,0)),"",INDEX(Inputs!$B$66:$B$71,MATCH(MONTH(Output!W5),Inputs!$D$66:$D$71,0))-INDEX(Inputs!$C$66:$C$71,MATCH(MONTH(Output!W5),Inputs!$D$66:$D$71,0)))</f>
        <v>41968</v>
      </c>
      <c r="X7" s="80">
        <f>IF(ISERROR(VLOOKUP(MONTH(X5),Inputs!$D$66:$D$71,1,0)),"",INDEX(Inputs!$B$66:$B$71,MATCH(MONTH(Output!X5),Inputs!$D$66:$D$71,0))-INDEX(Inputs!$C$66:$C$71,MATCH(MONTH(Output!X5),Inputs!$D$66:$D$71,0)))</f>
        <v>3178</v>
      </c>
      <c r="Y7" s="80">
        <f>IF(ISERROR(VLOOKUP(MONTH(Y5),Inputs!$D$66:$D$71,1,0)),"",INDEX(Inputs!$B$66:$B$71,MATCH(MONTH(Output!Y5),Inputs!$D$66:$D$71,0))-INDEX(Inputs!$C$66:$C$71,MATCH(MONTH(Output!Y5),Inputs!$D$66:$D$71,0)))</f>
        <v>2971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20000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200000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606453.6419603983</v>
      </c>
      <c r="C11" s="80">
        <f>C6+C9-C10</f>
        <v>513893.1091507489</v>
      </c>
      <c r="D11" s="80">
        <f>D6+D9-D10</f>
        <v>13323.3460683733</v>
      </c>
      <c r="E11" s="80">
        <f>E6+E9-E10</f>
        <v>76186.3460683733</v>
      </c>
      <c r="F11" s="80">
        <f>F6+F9-F10</f>
        <v>54286.3460683733</v>
      </c>
      <c r="G11" s="80">
        <f>G6+G9-G10</f>
        <v>72186.3460683733</v>
      </c>
      <c r="H11" s="80">
        <f>H6+H9-H10</f>
        <v>386453.6419603982</v>
      </c>
      <c r="I11" s="80">
        <f>I6+I9-I10</f>
        <v>493893.1091507489</v>
      </c>
      <c r="J11" s="80">
        <f>J6+J9-J10</f>
        <v>13323.3460683733</v>
      </c>
      <c r="K11" s="80">
        <f>K6+K9-K10</f>
        <v>76186.3460683733</v>
      </c>
      <c r="L11" s="80">
        <f>L6+L9-L10</f>
        <v>54286.3460683733</v>
      </c>
      <c r="M11" s="80">
        <f>M6+M9-M10</f>
        <v>72186.3460683733</v>
      </c>
      <c r="N11" s="80">
        <f>N6+N9-N10</f>
        <v>386453.6419603982</v>
      </c>
      <c r="O11" s="80">
        <f>O6+O9-O10</f>
        <v>493893.1091507489</v>
      </c>
      <c r="P11" s="80">
        <f>P6+P9-P10</f>
        <v>33323.3460683733</v>
      </c>
      <c r="Q11" s="80">
        <f>Q6+Q9-Q10</f>
        <v>96186.3460683733</v>
      </c>
      <c r="R11" s="80">
        <f>R6+R9-R10</f>
        <v>74286.3460683733</v>
      </c>
      <c r="S11" s="80">
        <f>S6+S9-S10</f>
        <v>92186.3460683733</v>
      </c>
      <c r="T11" s="80">
        <f>T6+T9-T10</f>
        <v>631453.6419603983</v>
      </c>
      <c r="U11" s="80">
        <f>U6+U9-U10</f>
        <v>513893.1091507489</v>
      </c>
      <c r="V11" s="80">
        <f>V6+V9-V10</f>
        <v>33323.3460683733</v>
      </c>
      <c r="W11" s="80">
        <f>W6+W9-W10</f>
        <v>96186.3460683733</v>
      </c>
      <c r="X11" s="80">
        <f>X6+X9-X10</f>
        <v>74286.3460683733</v>
      </c>
      <c r="Y11" s="80">
        <f>Y6+Y9-Y10</f>
        <v>92186.3460683733</v>
      </c>
      <c r="Z11" s="85">
        <f>SUMIF($B$13:$Y$13,"Yes",B11:Y11)</f>
        <v>3313005.021880428</v>
      </c>
      <c r="AA11" s="80">
        <f>SUM(B11:M11)</f>
        <v>2432658.270769281</v>
      </c>
      <c r="AB11" s="46">
        <f>SUM(B11:Y11)</f>
        <v>5050316.541538561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0.0173359784993091</v>
      </c>
      <c r="E12" s="82">
        <f>IF(E13="Yes",IF(SUM($B$10:E10)/(SUM($B$6:E6)+SUM($B$9:E9))&lt;0,999.99,SUM($B$10:E10)/(SUM($B$6:E6)+SUM($B$9:E9))),"")</f>
        <v>0.03200367547496532</v>
      </c>
      <c r="F12" s="82">
        <f>IF(F13="Yes",IF(SUM($B$10:F10)/(SUM($B$6:F6)+SUM($B$9:F9))&lt;0,999.99,SUM($B$10:F10)/(SUM($B$6:F6)+SUM($B$9:F9))),"")</f>
        <v>0.0453123337483728</v>
      </c>
      <c r="G12" s="82">
        <f>IF(G13="Yes",IF(SUM($B$10:G10)/(SUM($B$6:G6)+SUM($B$9:G9))&lt;0,999.99,SUM($B$10:G10)/(SUM($B$6:G6)+SUM($B$9:G9))),"")</f>
        <v>0.05648404597584864</v>
      </c>
      <c r="H12" s="82">
        <f>IF(H13="Yes",IF(SUM($B$10:H10)/(SUM($B$6:H6)+SUM($B$9:H9))&lt;0,999.99,SUM($B$10:H10)/(SUM($B$6:H6)+SUM($B$9:H9))),"")</f>
        <v>0.05486117229264931</v>
      </c>
      <c r="I12" s="82">
        <f>IF(I13="Yes",IF(SUM($B$10:I10)/(SUM($B$6:I6)+SUM($B$9:I9))&lt;0,999.99,SUM($B$10:I10)/(SUM($B$6:I6)+SUM($B$9:I9))),"")</f>
        <v>0.05135500421496575</v>
      </c>
      <c r="J12" s="82">
        <f>IF(J13="Yes",IF(SUM($B$10:J10)/(SUM($B$6:J6)+SUM($B$9:J9))&lt;0,999.99,SUM($B$10:J10)/(SUM($B$6:J6)+SUM($B$9:J9))),"")</f>
        <v>0.05907174908598199</v>
      </c>
      <c r="K12" s="82">
        <f>IF(K13="Yes",IF(SUM($B$10:K10)/(SUM($B$6:K6)+SUM($B$9:K9))&lt;0,999.99,SUM($B$10:K10)/(SUM($B$6:K6)+SUM($B$9:K9))),"")</f>
        <v>0.06487751829637969</v>
      </c>
      <c r="L12" s="82">
        <f>IF(L13="Yes",IF(SUM($B$10:L10)/(SUM($B$6:L6)+SUM($B$9:L9))&lt;0,999.99,SUM($B$10:L10)/(SUM($B$6:L6)+SUM($B$9:L9))),"")</f>
        <v>0.07085297745268</v>
      </c>
      <c r="M12" s="82">
        <f>IF(M13="Yes",IF(SUM($B$10:M10)/(SUM($B$6:M6)+SUM($B$9:M9))&lt;0,999.99,SUM($B$10:M10)/(SUM($B$6:M6)+SUM($B$9:M9))),"")</f>
        <v>0.07596884191944843</v>
      </c>
      <c r="N12" s="82">
        <f>IF(N13="Yes",IF(SUM($B$10:N10)/(SUM($B$6:N6)+SUM($B$9:N9))&lt;0,999.99,SUM($B$10:N10)/(SUM($B$6:N6)+SUM($B$9:N9))),"")</f>
        <v>0.07238956850470164</v>
      </c>
      <c r="O12" s="82">
        <f>IF(O13="Yes",IF(SUM($B$10:O10)/(SUM($B$6:O6)+SUM($B$9:O9))&lt;0,999.99,SUM($B$10:O10)/(SUM($B$6:O6)+SUM($B$9:O9))),"")</f>
        <v>0.06754845504636522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20840.46066931568</v>
      </c>
      <c r="C18" s="36">
        <f>O18</f>
        <v>22924.50673624725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20840.46066931568</v>
      </c>
      <c r="I18" s="36">
        <f>U18</f>
        <v>22924.50673624725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20840.46066931568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22924.50673624725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20840.46066931568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22924.50673624725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131294.9022166888</v>
      </c>
      <c r="AA18" s="36">
        <f>SUM(B18:M18)</f>
        <v>87529.93481112586</v>
      </c>
      <c r="AB18" s="36">
        <f>SUM(B18:Y18)</f>
        <v>175059.8696222517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284173.0028084349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284173.0028084349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284173.0028084349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284173.0028084349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852519.0084253047</v>
      </c>
      <c r="AA19" s="36">
        <f>SUM(B19:M19)</f>
        <v>568346.0056168698</v>
      </c>
      <c r="AB19" s="36">
        <f>SUM(B19:Y19)</f>
        <v>1136692.01123374</v>
      </c>
      <c r="AC19" s="43"/>
      <c r="AD19" s="43"/>
    </row>
    <row r="20" spans="1:30">
      <c r="A20" t="str">
        <f>IF(Calculations!A6&lt;&gt;Parameters!$A$18,IF(Calculations!A6=0,"",Calculations!A6),Inputs!B9)</f>
        <v>Onions</v>
      </c>
      <c r="B20" s="36">
        <f>N20</f>
        <v>0</v>
      </c>
      <c r="C20" s="36">
        <f>O20</f>
        <v>370182.2563461284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370182.2563461284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370182.2563461284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370182.2563461284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1110546.769038385</v>
      </c>
      <c r="AA20" s="36">
        <f>SUM(B20:M20)</f>
        <v>740364.5126922567</v>
      </c>
      <c r="AB20" s="36">
        <f>SUM(B20:Y20)</f>
        <v>1480729.025384513</v>
      </c>
    </row>
    <row r="21" spans="1:30">
      <c r="A21" t="str">
        <f>IF(Calculations!A7&lt;&gt;Parameters!$A$18,IF(Calculations!A7=0,"",Calculations!A7),Inputs!B10)</f>
        <v>Potatoes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 t="str">
        <f>IF(Calculations!A8&lt;&gt;Parameters!$A$18,IF(Calculations!A8=0,"",Calculations!A8),Inputs!B11)</f>
        <v>Cabbages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225999.9999999999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159687.5</v>
      </c>
      <c r="C24" s="36">
        <f>IFERROR(Calculations!$P14/12,"")</f>
        <v>159687.5</v>
      </c>
      <c r="D24" s="36">
        <f>IFERROR(Calculations!$P14/12,"")</f>
        <v>159687.5</v>
      </c>
      <c r="E24" s="36">
        <f>IFERROR(Calculations!$P14/12,"")</f>
        <v>159687.5</v>
      </c>
      <c r="F24" s="36">
        <f>IFERROR(Calculations!$P14/12,"")</f>
        <v>159687.5</v>
      </c>
      <c r="G24" s="36">
        <f>IFERROR(Calculations!$P14/12,"")</f>
        <v>159687.5</v>
      </c>
      <c r="H24" s="36">
        <f>IFERROR(Calculations!$P14/12,"")</f>
        <v>159687.5</v>
      </c>
      <c r="I24" s="36">
        <f>IFERROR(Calculations!$P14/12,"")</f>
        <v>159687.5</v>
      </c>
      <c r="J24" s="36">
        <f>IFERROR(Calculations!$P14/12,"")</f>
        <v>159687.5</v>
      </c>
      <c r="K24" s="36">
        <f>IFERROR(Calculations!$P14/12,"")</f>
        <v>159687.5</v>
      </c>
      <c r="L24" s="36">
        <f>IFERROR(Calculations!$P14/12,"")</f>
        <v>159687.5</v>
      </c>
      <c r="M24" s="36">
        <f>IFERROR(Calculations!$P14/12,"")</f>
        <v>159687.5</v>
      </c>
      <c r="N24" s="36">
        <f>IFERROR(Calculations!$P14/12,"")</f>
        <v>159687.5</v>
      </c>
      <c r="O24" s="36">
        <f>IFERROR(Calculations!$P14/12,"")</f>
        <v>159687.5</v>
      </c>
      <c r="P24" s="36">
        <f>IFERROR(Calculations!$P14/12,"")</f>
        <v>159687.5</v>
      </c>
      <c r="Q24" s="36">
        <f>IFERROR(Calculations!$P14/12,"")</f>
        <v>159687.5</v>
      </c>
      <c r="R24" s="36">
        <f>IFERROR(Calculations!$P14/12,"")</f>
        <v>159687.5</v>
      </c>
      <c r="S24" s="36">
        <f>IFERROR(Calculations!$P14/12,"")</f>
        <v>159687.5</v>
      </c>
      <c r="T24" s="36">
        <f>IFERROR(Calculations!$P14/12,"")</f>
        <v>159687.5</v>
      </c>
      <c r="U24" s="36">
        <f>IFERROR(Calculations!$P14/12,"")</f>
        <v>159687.5</v>
      </c>
      <c r="V24" s="36">
        <f>IFERROR(Calculations!$P14/12,"")</f>
        <v>159687.5</v>
      </c>
      <c r="W24" s="36">
        <f>IFERROR(Calculations!$P14/12,"")</f>
        <v>159687.5</v>
      </c>
      <c r="X24" s="36">
        <f>IFERROR(Calculations!$P14/12,"")</f>
        <v>159687.5</v>
      </c>
      <c r="Y24" s="36">
        <f>IFERROR(Calculations!$P14/12,"")</f>
        <v>159687.5</v>
      </c>
      <c r="Z24" s="36">
        <f>SUMIF($B$13:$Y$13,"Yes",B24:Y24)</f>
        <v>2235625</v>
      </c>
      <c r="AA24" s="36">
        <f>SUM(B24:M24)</f>
        <v>1916250</v>
      </c>
      <c r="AB24" s="46">
        <f>SUM(B24:Y24)</f>
        <v>3832500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12777.77777777778</v>
      </c>
      <c r="C25" s="36">
        <f>IFERROR(Calculations!$P15/12,"")</f>
        <v>12777.77777777778</v>
      </c>
      <c r="D25" s="36">
        <f>IFERROR(Calculations!$P15/12,"")</f>
        <v>12777.77777777778</v>
      </c>
      <c r="E25" s="36">
        <f>IFERROR(Calculations!$P15/12,"")</f>
        <v>12777.77777777778</v>
      </c>
      <c r="F25" s="36">
        <f>IFERROR(Calculations!$P15/12,"")</f>
        <v>12777.77777777778</v>
      </c>
      <c r="G25" s="36">
        <f>IFERROR(Calculations!$P15/12,"")</f>
        <v>12777.77777777778</v>
      </c>
      <c r="H25" s="36">
        <f>IFERROR(Calculations!$P15/12,"")</f>
        <v>12777.77777777778</v>
      </c>
      <c r="I25" s="36">
        <f>IFERROR(Calculations!$P15/12,"")</f>
        <v>12777.77777777778</v>
      </c>
      <c r="J25" s="36">
        <f>IFERROR(Calculations!$P15/12,"")</f>
        <v>12777.77777777778</v>
      </c>
      <c r="K25" s="36">
        <f>IFERROR(Calculations!$P15/12,"")</f>
        <v>12777.77777777778</v>
      </c>
      <c r="L25" s="36">
        <f>IFERROR(Calculations!$P15/12,"")</f>
        <v>12777.77777777778</v>
      </c>
      <c r="M25" s="36">
        <f>IFERROR(Calculations!$P15/12,"")</f>
        <v>12777.77777777778</v>
      </c>
      <c r="N25" s="36">
        <f>IFERROR(Calculations!$P15/12,"")</f>
        <v>12777.77777777778</v>
      </c>
      <c r="O25" s="36">
        <f>IFERROR(Calculations!$P15/12,"")</f>
        <v>12777.77777777778</v>
      </c>
      <c r="P25" s="36">
        <f>IFERROR(Calculations!$P15/12,"")</f>
        <v>12777.77777777778</v>
      </c>
      <c r="Q25" s="36">
        <f>IFERROR(Calculations!$P15/12,"")</f>
        <v>12777.77777777778</v>
      </c>
      <c r="R25" s="36">
        <f>IFERROR(Calculations!$P15/12,"")</f>
        <v>12777.77777777778</v>
      </c>
      <c r="S25" s="36">
        <f>IFERROR(Calculations!$P15/12,"")</f>
        <v>12777.77777777778</v>
      </c>
      <c r="T25" s="36">
        <f>IFERROR(Calculations!$P15/12,"")</f>
        <v>12777.77777777778</v>
      </c>
      <c r="U25" s="36">
        <f>IFERROR(Calculations!$P15/12,"")</f>
        <v>12777.77777777778</v>
      </c>
      <c r="V25" s="36">
        <f>IFERROR(Calculations!$P15/12,"")</f>
        <v>12777.77777777778</v>
      </c>
      <c r="W25" s="36">
        <f>IFERROR(Calculations!$P15/12,"")</f>
        <v>12777.77777777778</v>
      </c>
      <c r="X25" s="36">
        <f>IFERROR(Calculations!$P15/12,"")</f>
        <v>12777.77777777778</v>
      </c>
      <c r="Y25" s="36">
        <f>IFERROR(Calculations!$P15/12,"")</f>
        <v>12777.77777777778</v>
      </c>
      <c r="Z25" s="36">
        <f>SUMIF($B$13:$Y$13,"Yes",B25:Y25)</f>
        <v>178888.8888888889</v>
      </c>
      <c r="AA25" s="36">
        <f>SUM(B25:M25)</f>
        <v>153333.3333333333</v>
      </c>
      <c r="AB25" s="46">
        <f>SUM(B25:Y25)</f>
        <v>306666.6666666666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9375</v>
      </c>
      <c r="C26" s="36">
        <f>IFERROR(Calculations!$P16/12,"")</f>
        <v>9375</v>
      </c>
      <c r="D26" s="36">
        <f>IFERROR(Calculations!$P16/12,"")</f>
        <v>9375</v>
      </c>
      <c r="E26" s="36">
        <f>IFERROR(Calculations!$P16/12,"")</f>
        <v>9375</v>
      </c>
      <c r="F26" s="36">
        <f>IFERROR(Calculations!$P16/12,"")</f>
        <v>9375</v>
      </c>
      <c r="G26" s="36">
        <f>IFERROR(Calculations!$P16/12,"")</f>
        <v>9375</v>
      </c>
      <c r="H26" s="36">
        <f>IFERROR(Calculations!$P16/12,"")</f>
        <v>9375</v>
      </c>
      <c r="I26" s="36">
        <f>IFERROR(Calculations!$P16/12,"")</f>
        <v>9375</v>
      </c>
      <c r="J26" s="36">
        <f>IFERROR(Calculations!$P16/12,"")</f>
        <v>9375</v>
      </c>
      <c r="K26" s="36">
        <f>IFERROR(Calculations!$P16/12,"")</f>
        <v>9375</v>
      </c>
      <c r="L26" s="36">
        <f>IFERROR(Calculations!$P16/12,"")</f>
        <v>9375</v>
      </c>
      <c r="M26" s="36">
        <f>IFERROR(Calculations!$P16/12,"")</f>
        <v>9375</v>
      </c>
      <c r="N26" s="36">
        <f>IFERROR(Calculations!$P16/12,"")</f>
        <v>9375</v>
      </c>
      <c r="O26" s="36">
        <f>IFERROR(Calculations!$P16/12,"")</f>
        <v>9375</v>
      </c>
      <c r="P26" s="36">
        <f>IFERROR(Calculations!$P16/12,"")</f>
        <v>9375</v>
      </c>
      <c r="Q26" s="36">
        <f>IFERROR(Calculations!$P16/12,"")</f>
        <v>9375</v>
      </c>
      <c r="R26" s="36">
        <f>IFERROR(Calculations!$P16/12,"")</f>
        <v>9375</v>
      </c>
      <c r="S26" s="36">
        <f>IFERROR(Calculations!$P16/12,"")</f>
        <v>9375</v>
      </c>
      <c r="T26" s="36">
        <f>IFERROR(Calculations!$P16/12,"")</f>
        <v>9375</v>
      </c>
      <c r="U26" s="36">
        <f>IFERROR(Calculations!$P16/12,"")</f>
        <v>9375</v>
      </c>
      <c r="V26" s="36">
        <f>IFERROR(Calculations!$P16/12,"")</f>
        <v>9375</v>
      </c>
      <c r="W26" s="36">
        <f>IFERROR(Calculations!$P16/12,"")</f>
        <v>9375</v>
      </c>
      <c r="X26" s="36">
        <f>IFERROR(Calculations!$P16/12,"")</f>
        <v>9375</v>
      </c>
      <c r="Y26" s="36">
        <f>IFERROR(Calculations!$P16/12,"")</f>
        <v>9375</v>
      </c>
      <c r="Z26" s="36">
        <f>SUMIF($B$13:$Y$13,"Yes",B26:Y26)</f>
        <v>131250</v>
      </c>
      <c r="AA26" s="36">
        <f>SUM(B26:M26)</f>
        <v>112500</v>
      </c>
      <c r="AB26" s="46">
        <f>SUM(B26:Y26)</f>
        <v>225000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225000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225000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250000</v>
      </c>
      <c r="C29" s="37">
        <f>Inputs!$B$30</f>
        <v>250000</v>
      </c>
      <c r="D29" s="37">
        <f>Inputs!$B$30</f>
        <v>250000</v>
      </c>
      <c r="E29" s="37">
        <f>Inputs!$B$30</f>
        <v>250000</v>
      </c>
      <c r="F29" s="37">
        <f>Inputs!$B$30</f>
        <v>250000</v>
      </c>
      <c r="G29" s="37">
        <f>Inputs!$B$30</f>
        <v>250000</v>
      </c>
      <c r="H29" s="37">
        <f>Inputs!$B$30</f>
        <v>250000</v>
      </c>
      <c r="I29" s="37">
        <f>Inputs!$B$30</f>
        <v>250000</v>
      </c>
      <c r="J29" s="37">
        <f>Inputs!$B$30</f>
        <v>250000</v>
      </c>
      <c r="K29" s="37">
        <f>Inputs!$B$30</f>
        <v>250000</v>
      </c>
      <c r="L29" s="37">
        <f>Inputs!$B$30</f>
        <v>250000</v>
      </c>
      <c r="M29" s="37">
        <f>Inputs!$B$30</f>
        <v>250000</v>
      </c>
      <c r="N29" s="37">
        <f>Inputs!$B$30</f>
        <v>250000</v>
      </c>
      <c r="O29" s="37">
        <f>Inputs!$B$30</f>
        <v>250000</v>
      </c>
      <c r="P29" s="37">
        <f>Inputs!$B$30</f>
        <v>250000</v>
      </c>
      <c r="Q29" s="37">
        <f>Inputs!$B$30</f>
        <v>250000</v>
      </c>
      <c r="R29" s="37">
        <f>Inputs!$B$30</f>
        <v>250000</v>
      </c>
      <c r="S29" s="37">
        <f>Inputs!$B$30</f>
        <v>250000</v>
      </c>
      <c r="T29" s="37">
        <f>Inputs!$B$30</f>
        <v>250000</v>
      </c>
      <c r="U29" s="37">
        <f>Inputs!$B$30</f>
        <v>250000</v>
      </c>
      <c r="V29" s="37">
        <f>Inputs!$B$30</f>
        <v>250000</v>
      </c>
      <c r="W29" s="37">
        <f>Inputs!$B$30</f>
        <v>250000</v>
      </c>
      <c r="X29" s="37">
        <f>Inputs!$B$30</f>
        <v>250000</v>
      </c>
      <c r="Y29" s="37">
        <f>Inputs!$B$30</f>
        <v>250000</v>
      </c>
      <c r="Z29" s="37">
        <f>SUMIF($B$13:$Y$13,"Yes",B29:Y29)</f>
        <v>3500000</v>
      </c>
      <c r="AA29" s="37">
        <f>SUM(B29:M29)</f>
        <v>3000000</v>
      </c>
      <c r="AB29" s="37">
        <f>SUM(B29:Y29)</f>
        <v>6000000</v>
      </c>
    </row>
    <row r="30" spans="1:30" customHeight="1" ht="15.75">
      <c r="A30" s="1" t="s">
        <v>37</v>
      </c>
      <c r="B30" s="19">
        <f>SUM(B18:B29)</f>
        <v>736853.7412555283</v>
      </c>
      <c r="C30" s="19">
        <f>SUM(C18:C29)</f>
        <v>824947.0408601534</v>
      </c>
      <c r="D30" s="19">
        <f>SUM(D18:D29)</f>
        <v>431840.2777777778</v>
      </c>
      <c r="E30" s="19">
        <f>SUM(E18:E29)</f>
        <v>431840.2777777778</v>
      </c>
      <c r="F30" s="19">
        <f>SUM(F18:F29)</f>
        <v>431840.2777777778</v>
      </c>
      <c r="G30" s="19">
        <f>SUM(G18:G29)</f>
        <v>431840.2777777778</v>
      </c>
      <c r="H30" s="19">
        <f>SUM(H18:H29)</f>
        <v>736853.7412555283</v>
      </c>
      <c r="I30" s="19">
        <f>SUM(I18:I29)</f>
        <v>824947.0408601534</v>
      </c>
      <c r="J30" s="19">
        <f>SUM(J18:J29)</f>
        <v>431840.2777777778</v>
      </c>
      <c r="K30" s="19">
        <f>SUM(K18:K29)</f>
        <v>431840.2777777778</v>
      </c>
      <c r="L30" s="19">
        <f>SUM(L18:L29)</f>
        <v>431840.2777777778</v>
      </c>
      <c r="M30" s="19">
        <f>SUM(M18:M29)</f>
        <v>431840.2777777778</v>
      </c>
      <c r="N30" s="19">
        <f>SUM(N18:N29)</f>
        <v>736853.7412555283</v>
      </c>
      <c r="O30" s="19">
        <f>SUM(O18:O29)</f>
        <v>824947.0408601534</v>
      </c>
      <c r="P30" s="19">
        <f>SUM(P18:P29)</f>
        <v>431840.2777777778</v>
      </c>
      <c r="Q30" s="19">
        <f>SUM(Q18:Q29)</f>
        <v>431840.2777777778</v>
      </c>
      <c r="R30" s="19">
        <f>SUM(R18:R29)</f>
        <v>431840.2777777778</v>
      </c>
      <c r="S30" s="19">
        <f>SUM(S18:S29)</f>
        <v>431840.2777777778</v>
      </c>
      <c r="T30" s="19">
        <f>SUM(T18:T29)</f>
        <v>961853.7412555283</v>
      </c>
      <c r="U30" s="19">
        <f>SUM(U18:U29)</f>
        <v>824947.0408601534</v>
      </c>
      <c r="V30" s="19">
        <f>SUM(V18:V29)</f>
        <v>431840.2777777778</v>
      </c>
      <c r="W30" s="19">
        <f>SUM(W18:W29)</f>
        <v>431840.2777777778</v>
      </c>
      <c r="X30" s="19">
        <f>SUM(X18:X29)</f>
        <v>431840.2777777778</v>
      </c>
      <c r="Y30" s="19">
        <f>SUM(Y18:Y29)</f>
        <v>431840.2777777778</v>
      </c>
      <c r="Z30" s="19">
        <f>SUMIF($B$13:$Y$13,"Yes",B30:Y30)</f>
        <v>8140124.568569269</v>
      </c>
      <c r="AA30" s="19">
        <f>SUM(B30:M30)</f>
        <v>6578323.786453587</v>
      </c>
      <c r="AB30" s="19">
        <f>SUM(B30:Y30)</f>
        <v>13381647.57290718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46000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46000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46000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46000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92000</v>
      </c>
      <c r="AA36" s="36">
        <f>SUM(B36:M36)</f>
        <v>92000</v>
      </c>
      <c r="AB36" s="36">
        <f>SUM(B36:Y36)</f>
        <v>184000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6000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6000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6000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6000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30000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30000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30000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30000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60000</v>
      </c>
      <c r="AA38" s="36">
        <f>SUM(B38:M38)</f>
        <v>60000</v>
      </c>
      <c r="AB38" s="36">
        <f>SUM(B38:Y38)</f>
        <v>120000</v>
      </c>
      <c r="AC38" s="73"/>
    </row>
    <row r="39" spans="1:30" hidden="true" outlineLevel="1">
      <c r="A39" s="181" t="str">
        <f>Calculations!$A$6</f>
        <v>Onions</v>
      </c>
      <c r="B39" s="36">
        <f>N39</f>
        <v>0</v>
      </c>
      <c r="C39" s="36">
        <f>O39</f>
        <v>0</v>
      </c>
      <c r="D39" s="36">
        <f>P39</f>
        <v>4000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4000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4000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4000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8000</v>
      </c>
      <c r="AA39" s="36">
        <f>SUM(B39:M39)</f>
        <v>8000</v>
      </c>
      <c r="AB39" s="36">
        <f>SUM(B39:Y39)</f>
        <v>16000</v>
      </c>
      <c r="AC39" s="73"/>
    </row>
    <row r="40" spans="1:30" hidden="true" outlineLevel="1">
      <c r="A40" s="181" t="str">
        <f>Calculations!$A$7</f>
        <v>Potatoes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Cabbages</v>
      </c>
      <c r="B41" s="36">
        <f>N41</f>
        <v>0</v>
      </c>
      <c r="C41" s="36">
        <f>O41</f>
        <v>0</v>
      </c>
      <c r="D41" s="36">
        <f>P41</f>
        <v>6000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6000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6000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6000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12000</v>
      </c>
      <c r="AA41" s="36">
        <f>SUM(B41:M41)</f>
        <v>12000</v>
      </c>
      <c r="AB41" s="36">
        <f>SUM(B41:Y41)</f>
        <v>24000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16863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16863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16863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16863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33726</v>
      </c>
      <c r="AA42" s="36">
        <f>SUM(B42:M42)</f>
        <v>33726</v>
      </c>
      <c r="AB42" s="36">
        <f>SUM(B42:Y42)</f>
        <v>67452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7500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7500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7500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7500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15000</v>
      </c>
      <c r="AA43" s="36">
        <f>SUM(B43:M43)</f>
        <v>15000</v>
      </c>
      <c r="AB43" s="36">
        <f>SUM(B43:Y43)</f>
        <v>30000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4545.000000000001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4545.000000000001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4545.000000000001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4545.000000000001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9090.000000000002</v>
      </c>
      <c r="AA44" s="36">
        <f>SUM(B44:M44)</f>
        <v>9090.000000000002</v>
      </c>
      <c r="AB44" s="36">
        <f>SUM(B44:Y44)</f>
        <v>18180</v>
      </c>
    </row>
    <row r="45" spans="1:30" hidden="true" outlineLevel="1">
      <c r="A45" s="181" t="str">
        <f>Calculations!$A$6</f>
        <v>Onions</v>
      </c>
      <c r="B45" s="36">
        <f>N45</f>
        <v>0</v>
      </c>
      <c r="C45" s="36">
        <f>O45</f>
        <v>0</v>
      </c>
      <c r="D45" s="36">
        <f>P45</f>
        <v>3000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3000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3000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3000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6000</v>
      </c>
      <c r="AA45" s="36">
        <f>SUM(B45:M45)</f>
        <v>6000</v>
      </c>
      <c r="AB45" s="36">
        <f>SUM(B45:Y45)</f>
        <v>12000</v>
      </c>
    </row>
    <row r="46" spans="1:30" hidden="true" outlineLevel="1">
      <c r="A46" s="181" t="str">
        <f>Calculations!$A$7</f>
        <v>Potatoes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Cabbages</v>
      </c>
      <c r="B47" s="36">
        <f>N47</f>
        <v>0</v>
      </c>
      <c r="C47" s="36">
        <f>O47</f>
        <v>0</v>
      </c>
      <c r="D47" s="36">
        <f>P47</f>
        <v>1818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1818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1818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1818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3636</v>
      </c>
      <c r="AA47" s="36">
        <f>SUM(B47:M47)</f>
        <v>3636</v>
      </c>
      <c r="AB47" s="36">
        <f>SUM(B47:Y47)</f>
        <v>7272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21900</v>
      </c>
      <c r="G48" s="36">
        <f>S48</f>
        <v>4000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21900</v>
      </c>
      <c r="M48" s="36">
        <f>Y48</f>
        <v>4000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21900</v>
      </c>
      <c r="S48" s="46">
        <f>SUM(S49:S53)</f>
        <v>4000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21900</v>
      </c>
      <c r="Y48" s="46">
        <f>SUM(Y49:Y53)</f>
        <v>4000</v>
      </c>
      <c r="Z48" s="46">
        <f>SUMIF($B$13:$Y$13,"Yes",B48:Y48)</f>
        <v>51800</v>
      </c>
      <c r="AA48" s="46">
        <f>SUM(B48:M48)</f>
        <v>51800</v>
      </c>
      <c r="AB48" s="46">
        <f>SUM(B48:Y48)</f>
        <v>103600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9000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9000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9000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9000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18000</v>
      </c>
      <c r="AA49" s="46">
        <f>SUM(B49:M49)</f>
        <v>18000</v>
      </c>
      <c r="AB49" s="46">
        <f>SUM(B49:Y49)</f>
        <v>36000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4500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4500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4500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4500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9000</v>
      </c>
      <c r="AA50" s="46">
        <f>SUM(B50:M50)</f>
        <v>9000</v>
      </c>
      <c r="AB50" s="46">
        <f>SUM(B50:Y50)</f>
        <v>18000</v>
      </c>
    </row>
    <row r="51" spans="1:30" hidden="true" outlineLevel="1">
      <c r="A51" s="181" t="str">
        <f>Calculations!$A$6</f>
        <v>Onions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4000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4000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4000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4000</v>
      </c>
      <c r="Z51" s="46">
        <f>SUMIF($B$13:$Y$13,"Yes",B51:Y51)</f>
        <v>8000</v>
      </c>
      <c r="AA51" s="46">
        <f>SUM(B51:M51)</f>
        <v>8000</v>
      </c>
      <c r="AB51" s="46">
        <f>SUM(B51:Y51)</f>
        <v>16000</v>
      </c>
    </row>
    <row r="52" spans="1:30" hidden="true" outlineLevel="1">
      <c r="A52" s="181" t="str">
        <f>Calculations!$A$7</f>
        <v>Potatoes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Cabbages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8400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8400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8400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8400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16800</v>
      </c>
      <c r="AA53" s="46">
        <f>SUM(B53:M53)</f>
        <v>16800</v>
      </c>
      <c r="AB53" s="46">
        <f>SUM(B53:Y53)</f>
        <v>33600</v>
      </c>
    </row>
    <row r="54" spans="1:30" collapsed="true">
      <c r="A54" s="16" t="s">
        <v>42</v>
      </c>
      <c r="B54" s="36">
        <f>N54</f>
        <v>746.1675857255883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746.1675857255883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746.1675857255883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746.1675857255883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2238.502757176765</v>
      </c>
      <c r="AA54" s="46">
        <f>SUM(B54:M54)</f>
        <v>1492.335171451177</v>
      </c>
      <c r="AB54" s="46">
        <f>SUM(B54:Y54)</f>
        <v>2984.670342902353</v>
      </c>
    </row>
    <row r="55" spans="1:30" hidden="true" outlineLevel="1">
      <c r="A55" s="181" t="str">
        <f>Calculations!$A$4</f>
        <v>Beans</v>
      </c>
      <c r="B55" s="36">
        <f>N55</f>
        <v>746.1675857255883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746.1675857255883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746.1675857255883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746.1675857255883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2238.502757176765</v>
      </c>
      <c r="AA55" s="46">
        <f>SUM(B55:M55)</f>
        <v>1492.335171451177</v>
      </c>
      <c r="AB55" s="46">
        <f>SUM(B55:Y55)</f>
        <v>2984.670342902353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Onions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Potatoes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Cabbages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20933.33333333333</v>
      </c>
      <c r="C60" s="36">
        <f>O60</f>
        <v>2333.333333333333</v>
      </c>
      <c r="D60" s="36">
        <f>P60</f>
        <v>26933.33333333333</v>
      </c>
      <c r="E60" s="36">
        <f>Q60</f>
        <v>26933.33333333333</v>
      </c>
      <c r="F60" s="36">
        <f>R60</f>
        <v>26933.33333333333</v>
      </c>
      <c r="G60" s="36">
        <f>S60</f>
        <v>26933.33333333333</v>
      </c>
      <c r="H60" s="36">
        <f>T60</f>
        <v>20933.33333333333</v>
      </c>
      <c r="I60" s="36">
        <f>U60</f>
        <v>2333.333333333333</v>
      </c>
      <c r="J60" s="36">
        <f>V60</f>
        <v>26933.33333333333</v>
      </c>
      <c r="K60" s="36">
        <f>W60</f>
        <v>26933.33333333333</v>
      </c>
      <c r="L60" s="36">
        <f>X60</f>
        <v>26933.33333333333</v>
      </c>
      <c r="M60" s="36">
        <f>Y60</f>
        <v>26933.33333333333</v>
      </c>
      <c r="N60" s="46">
        <f>SUM(N61:N65)</f>
        <v>20933.33333333333</v>
      </c>
      <c r="O60" s="46">
        <f>SUM(O61:O65)</f>
        <v>2333.333333333333</v>
      </c>
      <c r="P60" s="46">
        <f>SUM(P61:P65)</f>
        <v>26933.33333333333</v>
      </c>
      <c r="Q60" s="46">
        <f>SUM(Q61:Q65)</f>
        <v>26933.33333333333</v>
      </c>
      <c r="R60" s="46">
        <f>SUM(R61:R65)</f>
        <v>26933.33333333333</v>
      </c>
      <c r="S60" s="46">
        <f>SUM(S61:S65)</f>
        <v>26933.33333333333</v>
      </c>
      <c r="T60" s="46">
        <f>SUM(T61:T65)</f>
        <v>20933.33333333333</v>
      </c>
      <c r="U60" s="46">
        <f>SUM(U61:U65)</f>
        <v>2333.333333333333</v>
      </c>
      <c r="V60" s="46">
        <f>SUM(V61:V65)</f>
        <v>26933.33333333333</v>
      </c>
      <c r="W60" s="46">
        <f>SUM(W61:W65)</f>
        <v>26933.33333333333</v>
      </c>
      <c r="X60" s="46">
        <f>SUM(X61:X65)</f>
        <v>26933.33333333333</v>
      </c>
      <c r="Y60" s="46">
        <f>SUM(Y61:Y65)</f>
        <v>26933.33333333333</v>
      </c>
      <c r="Z60" s="46">
        <f>SUMIF($B$13:$Y$13,"Yes",B60:Y60)</f>
        <v>285266.6666666667</v>
      </c>
      <c r="AA60" s="46">
        <f>SUM(B60:M60)</f>
        <v>262000</v>
      </c>
      <c r="AB60" s="46">
        <f>SUM(B60:Y60)</f>
        <v>523999.9999999998</v>
      </c>
    </row>
    <row r="61" spans="1:30" hidden="true" outlineLevel="1">
      <c r="A61" s="181" t="str">
        <f>Calculations!$A$4</f>
        <v>Beans</v>
      </c>
      <c r="B61" s="36">
        <f>N61</f>
        <v>3600</v>
      </c>
      <c r="C61" s="36">
        <f>O61</f>
        <v>0</v>
      </c>
      <c r="D61" s="36">
        <f>P61</f>
        <v>3600</v>
      </c>
      <c r="E61" s="36">
        <f>Q61</f>
        <v>3600</v>
      </c>
      <c r="F61" s="36">
        <f>R61</f>
        <v>3600</v>
      </c>
      <c r="G61" s="36">
        <f>S61</f>
        <v>3600</v>
      </c>
      <c r="H61" s="36">
        <f>T61</f>
        <v>3600</v>
      </c>
      <c r="I61" s="36">
        <f>U61</f>
        <v>0</v>
      </c>
      <c r="J61" s="36">
        <f>V61</f>
        <v>3600</v>
      </c>
      <c r="K61" s="36">
        <f>W61</f>
        <v>3600</v>
      </c>
      <c r="L61" s="36">
        <f>X61</f>
        <v>3600</v>
      </c>
      <c r="M61" s="36">
        <f>Y61</f>
        <v>3600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3600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3600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3600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3600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3600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3600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3600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3600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3600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3600</v>
      </c>
      <c r="Z61" s="46">
        <f>SUMIF($B$13:$Y$13,"Yes",B61:Y61)</f>
        <v>39600</v>
      </c>
      <c r="AA61" s="46">
        <f>SUM(B61:M61)</f>
        <v>36000</v>
      </c>
      <c r="AB61" s="46">
        <f>SUM(B61:Y61)</f>
        <v>72000</v>
      </c>
    </row>
    <row r="62" spans="1:30" hidden="true" outlineLevel="1">
      <c r="A62" s="181" t="str">
        <f>Calculations!$A$5</f>
        <v>Maize</v>
      </c>
      <c r="B62" s="36">
        <f>N62</f>
        <v>15000</v>
      </c>
      <c r="C62" s="36">
        <f>O62</f>
        <v>0</v>
      </c>
      <c r="D62" s="36">
        <f>P62</f>
        <v>15000</v>
      </c>
      <c r="E62" s="36">
        <f>Q62</f>
        <v>15000</v>
      </c>
      <c r="F62" s="36">
        <f>R62</f>
        <v>15000</v>
      </c>
      <c r="G62" s="36">
        <f>S62</f>
        <v>15000</v>
      </c>
      <c r="H62" s="36">
        <f>T62</f>
        <v>15000</v>
      </c>
      <c r="I62" s="36">
        <f>U62</f>
        <v>0</v>
      </c>
      <c r="J62" s="36">
        <f>V62</f>
        <v>15000</v>
      </c>
      <c r="K62" s="36">
        <f>W62</f>
        <v>15000</v>
      </c>
      <c r="L62" s="36">
        <f>X62</f>
        <v>15000</v>
      </c>
      <c r="M62" s="36">
        <f>Y62</f>
        <v>15000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15000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15000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15000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15000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15000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15000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15000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15000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15000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15000</v>
      </c>
      <c r="Z62" s="46">
        <f>SUMIF($B$13:$Y$13,"Yes",B62:Y62)</f>
        <v>165000</v>
      </c>
      <c r="AA62" s="46">
        <f>SUM(B62:M62)</f>
        <v>150000</v>
      </c>
      <c r="AB62" s="46">
        <f>SUM(B62:Y62)</f>
        <v>300000</v>
      </c>
    </row>
    <row r="63" spans="1:30" hidden="true" outlineLevel="1">
      <c r="A63" s="181" t="str">
        <f>Calculations!$A$6</f>
        <v>Onions</v>
      </c>
      <c r="B63" s="36">
        <f>N63</f>
        <v>2333.333333333333</v>
      </c>
      <c r="C63" s="36">
        <f>O63</f>
        <v>2333.333333333333</v>
      </c>
      <c r="D63" s="36">
        <f>P63</f>
        <v>2333.333333333333</v>
      </c>
      <c r="E63" s="36">
        <f>Q63</f>
        <v>2333.333333333333</v>
      </c>
      <c r="F63" s="36">
        <f>R63</f>
        <v>2333.333333333333</v>
      </c>
      <c r="G63" s="36">
        <f>S63</f>
        <v>2333.333333333333</v>
      </c>
      <c r="H63" s="36">
        <f>T63</f>
        <v>2333.333333333333</v>
      </c>
      <c r="I63" s="36">
        <f>U63</f>
        <v>2333.333333333333</v>
      </c>
      <c r="J63" s="36">
        <f>V63</f>
        <v>2333.333333333333</v>
      </c>
      <c r="K63" s="36">
        <f>W63</f>
        <v>2333.333333333333</v>
      </c>
      <c r="L63" s="36">
        <f>X63</f>
        <v>2333.333333333333</v>
      </c>
      <c r="M63" s="36">
        <f>Y63</f>
        <v>2333.333333333333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2333.333333333333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2333.333333333333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2333.333333333333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2333.333333333333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2333.333333333333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2333.333333333333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2333.333333333333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2333.333333333333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2333.333333333333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2333.333333333333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2333.333333333333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2333.333333333333</v>
      </c>
      <c r="Z63" s="46">
        <f>SUMIF($B$13:$Y$13,"Yes",B63:Y63)</f>
        <v>32666.66666666666</v>
      </c>
      <c r="AA63" s="46">
        <f>SUM(B63:M63)</f>
        <v>28000</v>
      </c>
      <c r="AB63" s="46">
        <f>SUM(B63:Y63)</f>
        <v>56000.00000000001</v>
      </c>
    </row>
    <row r="64" spans="1:30" hidden="true" outlineLevel="1">
      <c r="A64" s="181" t="str">
        <f>Calculations!$A$7</f>
        <v>Potatoes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Cabbages</v>
      </c>
      <c r="B65" s="36">
        <f>N65</f>
        <v>0</v>
      </c>
      <c r="C65" s="36">
        <f>O65</f>
        <v>0</v>
      </c>
      <c r="D65" s="36">
        <f>P65</f>
        <v>6000</v>
      </c>
      <c r="E65" s="36">
        <f>Q65</f>
        <v>6000</v>
      </c>
      <c r="F65" s="36">
        <f>R65</f>
        <v>6000</v>
      </c>
      <c r="G65" s="36">
        <f>S65</f>
        <v>6000</v>
      </c>
      <c r="H65" s="36">
        <f>T65</f>
        <v>0</v>
      </c>
      <c r="I65" s="36">
        <f>U65</f>
        <v>0</v>
      </c>
      <c r="J65" s="36">
        <f>V65</f>
        <v>6000</v>
      </c>
      <c r="K65" s="36">
        <f>W65</f>
        <v>6000</v>
      </c>
      <c r="L65" s="36">
        <f>X65</f>
        <v>6000</v>
      </c>
      <c r="M65" s="36">
        <f>Y65</f>
        <v>6000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6000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6000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6000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6000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6000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6000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6000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6000</v>
      </c>
      <c r="Z65" s="46">
        <f>SUMIF($B$13:$Y$13,"Yes",B65:Y65)</f>
        <v>48000</v>
      </c>
      <c r="AA65" s="46">
        <f>SUM(B65:M65)</f>
        <v>48000</v>
      </c>
      <c r="AB65" s="46">
        <f>SUM(B65:Y65)</f>
        <v>96000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Beans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Onions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Potatoes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Cabbages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11406.25</v>
      </c>
      <c r="C74" s="46">
        <f>SUM(Calculations!$Q$14:$Q$16)/12</f>
        <v>11406.25</v>
      </c>
      <c r="D74" s="46">
        <f>SUM(Calculations!$Q$14:$Q$16)/12</f>
        <v>11406.25</v>
      </c>
      <c r="E74" s="46">
        <f>SUM(Calculations!$Q$14:$Q$16)/12</f>
        <v>11406.25</v>
      </c>
      <c r="F74" s="46">
        <f>SUM(Calculations!$Q$14:$Q$16)/12</f>
        <v>11406.25</v>
      </c>
      <c r="G74" s="46">
        <f>SUM(Calculations!$Q$14:$Q$16)/12</f>
        <v>11406.25</v>
      </c>
      <c r="H74" s="46">
        <f>SUM(Calculations!$Q$14:$Q$16)/12</f>
        <v>11406.25</v>
      </c>
      <c r="I74" s="46">
        <f>SUM(Calculations!$Q$14:$Q$16)/12</f>
        <v>11406.25</v>
      </c>
      <c r="J74" s="46">
        <f>SUM(Calculations!$Q$14:$Q$16)/12</f>
        <v>11406.25</v>
      </c>
      <c r="K74" s="46">
        <f>SUM(Calculations!$Q$14:$Q$16)/12</f>
        <v>11406.25</v>
      </c>
      <c r="L74" s="46">
        <f>SUM(Calculations!$Q$14:$Q$16)/12</f>
        <v>11406.25</v>
      </c>
      <c r="M74" s="46">
        <f>SUM(Calculations!$Q$14:$Q$16)/12</f>
        <v>11406.25</v>
      </c>
      <c r="N74" s="46">
        <f>SUM(Calculations!$Q$14:$Q$16)/12</f>
        <v>11406.25</v>
      </c>
      <c r="O74" s="46">
        <f>SUM(Calculations!$Q$14:$Q$16)/12</f>
        <v>11406.25</v>
      </c>
      <c r="P74" s="46">
        <f>SUM(Calculations!$Q$14:$Q$16)/12</f>
        <v>11406.25</v>
      </c>
      <c r="Q74" s="46">
        <f>SUM(Calculations!$Q$14:$Q$16)/12</f>
        <v>11406.25</v>
      </c>
      <c r="R74" s="46">
        <f>SUM(Calculations!$Q$14:$Q$16)/12</f>
        <v>11406.25</v>
      </c>
      <c r="S74" s="46">
        <f>SUM(Calculations!$Q$14:$Q$16)/12</f>
        <v>11406.25</v>
      </c>
      <c r="T74" s="46">
        <f>SUM(Calculations!$Q$14:$Q$16)/12</f>
        <v>11406.25</v>
      </c>
      <c r="U74" s="46">
        <f>SUM(Calculations!$Q$14:$Q$16)/12</f>
        <v>11406.25</v>
      </c>
      <c r="V74" s="46">
        <f>SUM(Calculations!$Q$14:$Q$16)/12</f>
        <v>11406.25</v>
      </c>
      <c r="W74" s="46">
        <f>SUM(Calculations!$Q$14:$Q$16)/12</f>
        <v>11406.25</v>
      </c>
      <c r="X74" s="46">
        <f>SUM(Calculations!$Q$14:$Q$16)/12</f>
        <v>11406.25</v>
      </c>
      <c r="Y74" s="46">
        <f>SUM(Calculations!$Q$14:$Q$16)/12</f>
        <v>11406.25</v>
      </c>
      <c r="Z74" s="46">
        <f>SUMIF($B$13:$Y$13,"Yes",B74:Y74)</f>
        <v>159687.5</v>
      </c>
      <c r="AA74" s="46">
        <f>SUM(B74:M74)</f>
        <v>136875</v>
      </c>
      <c r="AB74" s="46">
        <f>SUM(B74:Y74)</f>
        <v>273750</v>
      </c>
    </row>
    <row r="75" spans="1:30">
      <c r="A75" s="16" t="s">
        <v>47</v>
      </c>
      <c r="B75" s="46">
        <f>SUM(Calculations!$R$14:$R$16)/12</f>
        <v>2750</v>
      </c>
      <c r="C75" s="46">
        <f>SUM(Calculations!$R$14:$R$16)/12</f>
        <v>2750</v>
      </c>
      <c r="D75" s="46">
        <f>SUM(Calculations!$R$14:$R$16)/12</f>
        <v>2750</v>
      </c>
      <c r="E75" s="46">
        <f>SUM(Calculations!$R$14:$R$16)/12</f>
        <v>2750</v>
      </c>
      <c r="F75" s="46">
        <f>SUM(Calculations!$R$14:$R$16)/12</f>
        <v>2750</v>
      </c>
      <c r="G75" s="46">
        <f>SUM(Calculations!$R$14:$R$16)/12</f>
        <v>2750</v>
      </c>
      <c r="H75" s="46">
        <f>SUM(Calculations!$R$14:$R$16)/12</f>
        <v>2750</v>
      </c>
      <c r="I75" s="46">
        <f>SUM(Calculations!$R$14:$R$16)/12</f>
        <v>2750</v>
      </c>
      <c r="J75" s="46">
        <f>SUM(Calculations!$R$14:$R$16)/12</f>
        <v>2750</v>
      </c>
      <c r="K75" s="46">
        <f>SUM(Calculations!$R$14:$R$16)/12</f>
        <v>2750</v>
      </c>
      <c r="L75" s="46">
        <f>SUM(Calculations!$R$14:$R$16)/12</f>
        <v>2750</v>
      </c>
      <c r="M75" s="46">
        <f>SUM(Calculations!$R$14:$R$16)/12</f>
        <v>2750</v>
      </c>
      <c r="N75" s="46">
        <f>SUM(Calculations!$R$14:$R$16)/12</f>
        <v>2750</v>
      </c>
      <c r="O75" s="46">
        <f>SUM(Calculations!$R$14:$R$16)/12</f>
        <v>2750</v>
      </c>
      <c r="P75" s="46">
        <f>SUM(Calculations!$R$14:$R$16)/12</f>
        <v>2750</v>
      </c>
      <c r="Q75" s="46">
        <f>SUM(Calculations!$R$14:$R$16)/12</f>
        <v>2750</v>
      </c>
      <c r="R75" s="46">
        <f>SUM(Calculations!$R$14:$R$16)/12</f>
        <v>2750</v>
      </c>
      <c r="S75" s="46">
        <f>SUM(Calculations!$R$14:$R$16)/12</f>
        <v>2750</v>
      </c>
      <c r="T75" s="46">
        <f>SUM(Calculations!$R$14:$R$16)/12</f>
        <v>2750</v>
      </c>
      <c r="U75" s="46">
        <f>SUM(Calculations!$R$14:$R$16)/12</f>
        <v>2750</v>
      </c>
      <c r="V75" s="46">
        <f>SUM(Calculations!$R$14:$R$16)/12</f>
        <v>2750</v>
      </c>
      <c r="W75" s="46">
        <f>SUM(Calculations!$R$14:$R$16)/12</f>
        <v>2750</v>
      </c>
      <c r="X75" s="46">
        <f>SUM(Calculations!$R$14:$R$16)/12</f>
        <v>2750</v>
      </c>
      <c r="Y75" s="46">
        <f>SUM(Calculations!$R$14:$R$16)/12</f>
        <v>2750</v>
      </c>
      <c r="Z75" s="46">
        <f>SUMIF($B$13:$Y$13,"Yes",B75:Y75)</f>
        <v>38500</v>
      </c>
      <c r="AA75" s="46">
        <f>SUM(B75:M75)</f>
        <v>33000</v>
      </c>
      <c r="AB75" s="46">
        <f>SUM(B75:Y75)</f>
        <v>66000</v>
      </c>
    </row>
    <row r="76" spans="1:30">
      <c r="A76" s="16" t="s">
        <v>48</v>
      </c>
      <c r="B76" s="46">
        <f>SUM(Calculations!$S$14:$S$16)/12</f>
        <v>9416.666666666666</v>
      </c>
      <c r="C76" s="46">
        <f>SUM(Calculations!$S$14:$S$16)/12</f>
        <v>9416.666666666666</v>
      </c>
      <c r="D76" s="46">
        <f>SUM(Calculations!$S$14:$S$16)/12</f>
        <v>9416.666666666666</v>
      </c>
      <c r="E76" s="46">
        <f>SUM(Calculations!$S$14:$S$16)/12</f>
        <v>9416.666666666666</v>
      </c>
      <c r="F76" s="46">
        <f>SUM(Calculations!$S$14:$S$16)/12</f>
        <v>9416.666666666666</v>
      </c>
      <c r="G76" s="46">
        <f>SUM(Calculations!$S$14:$S$16)/12</f>
        <v>9416.666666666666</v>
      </c>
      <c r="H76" s="46">
        <f>SUM(Calculations!$S$14:$S$16)/12</f>
        <v>9416.666666666666</v>
      </c>
      <c r="I76" s="46">
        <f>SUM(Calculations!$S$14:$S$16)/12</f>
        <v>9416.666666666666</v>
      </c>
      <c r="J76" s="46">
        <f>SUM(Calculations!$S$14:$S$16)/12</f>
        <v>9416.666666666666</v>
      </c>
      <c r="K76" s="46">
        <f>SUM(Calculations!$S$14:$S$16)/12</f>
        <v>9416.666666666666</v>
      </c>
      <c r="L76" s="46">
        <f>SUM(Calculations!$S$14:$S$16)/12</f>
        <v>9416.666666666666</v>
      </c>
      <c r="M76" s="46">
        <f>SUM(Calculations!$S$14:$S$16)/12</f>
        <v>9416.666666666666</v>
      </c>
      <c r="N76" s="46">
        <f>SUM(Calculations!$S$14:$S$16)/12</f>
        <v>9416.666666666666</v>
      </c>
      <c r="O76" s="46">
        <f>SUM(Calculations!$S$14:$S$16)/12</f>
        <v>9416.666666666666</v>
      </c>
      <c r="P76" s="46">
        <f>SUM(Calculations!$S$14:$S$16)/12</f>
        <v>9416.666666666666</v>
      </c>
      <c r="Q76" s="46">
        <f>SUM(Calculations!$S$14:$S$16)/12</f>
        <v>9416.666666666666</v>
      </c>
      <c r="R76" s="46">
        <f>SUM(Calculations!$S$14:$S$16)/12</f>
        <v>9416.666666666666</v>
      </c>
      <c r="S76" s="46">
        <f>SUM(Calculations!$S$14:$S$16)/12</f>
        <v>9416.666666666666</v>
      </c>
      <c r="T76" s="46">
        <f>SUM(Calculations!$S$14:$S$16)/12</f>
        <v>9416.666666666666</v>
      </c>
      <c r="U76" s="46">
        <f>SUM(Calculations!$S$14:$S$16)/12</f>
        <v>9416.666666666666</v>
      </c>
      <c r="V76" s="46">
        <f>SUM(Calculations!$S$14:$S$16)/12</f>
        <v>9416.666666666666</v>
      </c>
      <c r="W76" s="46">
        <f>SUM(Calculations!$S$14:$S$16)/12</f>
        <v>9416.666666666666</v>
      </c>
      <c r="X76" s="46">
        <f>SUM(Calculations!$S$14:$S$16)/12</f>
        <v>9416.666666666666</v>
      </c>
      <c r="Y76" s="46">
        <f>SUM(Calculations!$S$14:$S$16)/12</f>
        <v>9416.666666666666</v>
      </c>
      <c r="Z76" s="46">
        <f>SUMIF($B$13:$Y$13,"Yes",B76:Y76)</f>
        <v>131833.3333333333</v>
      </c>
      <c r="AA76" s="46">
        <f>SUM(B76:M76)</f>
        <v>113000</v>
      </c>
      <c r="AB76" s="46">
        <f>SUM(B76:Y76)</f>
        <v>225999.9999999999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150000</v>
      </c>
      <c r="C79" s="46">
        <f>Inputs!$B$31</f>
        <v>150000</v>
      </c>
      <c r="D79" s="46">
        <f>Inputs!$B$31</f>
        <v>150000</v>
      </c>
      <c r="E79" s="46">
        <f>Inputs!$B$31</f>
        <v>150000</v>
      </c>
      <c r="F79" s="46">
        <f>Inputs!$B$31</f>
        <v>150000</v>
      </c>
      <c r="G79" s="46">
        <f>Inputs!$B$31</f>
        <v>150000</v>
      </c>
      <c r="H79" s="46">
        <f>Inputs!$B$31</f>
        <v>150000</v>
      </c>
      <c r="I79" s="46">
        <f>Inputs!$B$31</f>
        <v>150000</v>
      </c>
      <c r="J79" s="46">
        <f>Inputs!$B$31</f>
        <v>150000</v>
      </c>
      <c r="K79" s="46">
        <f>Inputs!$B$31</f>
        <v>150000</v>
      </c>
      <c r="L79" s="46">
        <f>Inputs!$B$31</f>
        <v>150000</v>
      </c>
      <c r="M79" s="46">
        <f>Inputs!$B$31</f>
        <v>150000</v>
      </c>
      <c r="N79" s="46">
        <f>Inputs!$B$31</f>
        <v>150000</v>
      </c>
      <c r="O79" s="46">
        <f>Inputs!$B$31</f>
        <v>150000</v>
      </c>
      <c r="P79" s="46">
        <f>Inputs!$B$31</f>
        <v>150000</v>
      </c>
      <c r="Q79" s="46">
        <f>Inputs!$B$31</f>
        <v>150000</v>
      </c>
      <c r="R79" s="46">
        <f>Inputs!$B$31</f>
        <v>150000</v>
      </c>
      <c r="S79" s="46">
        <f>Inputs!$B$31</f>
        <v>150000</v>
      </c>
      <c r="T79" s="46">
        <f>Inputs!$B$31</f>
        <v>150000</v>
      </c>
      <c r="U79" s="46">
        <f>Inputs!$B$31</f>
        <v>150000</v>
      </c>
      <c r="V79" s="46">
        <f>Inputs!$B$31</f>
        <v>150000</v>
      </c>
      <c r="W79" s="46">
        <f>Inputs!$B$31</f>
        <v>150000</v>
      </c>
      <c r="X79" s="46">
        <f>Inputs!$B$31</f>
        <v>150000</v>
      </c>
      <c r="Y79" s="46">
        <f>Inputs!$B$31</f>
        <v>150000</v>
      </c>
      <c r="Z79" s="46">
        <f>SUMIF($B$13:$Y$13,"Yes",B79:Y79)</f>
        <v>2100000</v>
      </c>
      <c r="AA79" s="46">
        <f>SUM(B79:M79)</f>
        <v>1800000</v>
      </c>
      <c r="AB79" s="46">
        <f>SUM(B79:Y79)</f>
        <v>3600000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135147.6817094045</v>
      </c>
      <c r="C81" s="46">
        <f>(SUM($AA$18:$AA$29)-SUM($AA$36,$AA$42,$AA$48,$AA$54,$AA$60,$AA$66,$AA$72:$AA$79))*Parameters!$B$37/12</f>
        <v>135147.6817094045</v>
      </c>
      <c r="D81" s="46">
        <f>(SUM($AA$18:$AA$29)-SUM($AA$36,$AA$42,$AA$48,$AA$54,$AA$60,$AA$66,$AA$72:$AA$79))*Parameters!$B$37/12</f>
        <v>135147.6817094045</v>
      </c>
      <c r="E81" s="46">
        <f>(SUM($AA$18:$AA$29)-SUM($AA$36,$AA$42,$AA$48,$AA$54,$AA$60,$AA$66,$AA$72:$AA$79))*Parameters!$B$37/12</f>
        <v>135147.6817094045</v>
      </c>
      <c r="F81" s="46">
        <f>(SUM($AA$18:$AA$29)-SUM($AA$36,$AA$42,$AA$48,$AA$54,$AA$60,$AA$66,$AA$72:$AA$79))*Parameters!$B$37/12</f>
        <v>135147.6817094045</v>
      </c>
      <c r="G81" s="46">
        <f>(SUM($AA$18:$AA$29)-SUM($AA$36,$AA$42,$AA$48,$AA$54,$AA$60,$AA$66,$AA$72:$AA$79))*Parameters!$B$37/12</f>
        <v>135147.6817094045</v>
      </c>
      <c r="H81" s="46">
        <f>(SUM($AA$18:$AA$29)-SUM($AA$36,$AA$42,$AA$48,$AA$54,$AA$60,$AA$66,$AA$72:$AA$79))*Parameters!$B$37/12</f>
        <v>135147.6817094045</v>
      </c>
      <c r="I81" s="46">
        <f>(SUM($AA$18:$AA$29)-SUM($AA$36,$AA$42,$AA$48,$AA$54,$AA$60,$AA$66,$AA$72:$AA$79))*Parameters!$B$37/12</f>
        <v>135147.6817094045</v>
      </c>
      <c r="J81" s="46">
        <f>(SUM($AA$18:$AA$29)-SUM($AA$36,$AA$42,$AA$48,$AA$54,$AA$60,$AA$66,$AA$72:$AA$79))*Parameters!$B$37/12</f>
        <v>135147.6817094045</v>
      </c>
      <c r="K81" s="46">
        <f>(SUM($AA$18:$AA$29)-SUM($AA$36,$AA$42,$AA$48,$AA$54,$AA$60,$AA$66,$AA$72:$AA$79))*Parameters!$B$37/12</f>
        <v>135147.6817094045</v>
      </c>
      <c r="L81" s="46">
        <f>(SUM($AA$18:$AA$29)-SUM($AA$36,$AA$42,$AA$48,$AA$54,$AA$60,$AA$66,$AA$72:$AA$79))*Parameters!$B$37/12</f>
        <v>135147.6817094045</v>
      </c>
      <c r="M81" s="46">
        <f>(SUM($AA$18:$AA$29)-SUM($AA$36,$AA$42,$AA$48,$AA$54,$AA$60,$AA$66,$AA$72:$AA$79))*Parameters!$B$37/12</f>
        <v>135147.6817094045</v>
      </c>
      <c r="N81" s="46">
        <f>(SUM($AA$18:$AA$29)-SUM($AA$36,$AA$42,$AA$48,$AA$54,$AA$60,$AA$66,$AA$72:$AA$79))*Parameters!$B$37/12</f>
        <v>135147.6817094045</v>
      </c>
      <c r="O81" s="46">
        <f>(SUM($AA$18:$AA$29)-SUM($AA$36,$AA$42,$AA$48,$AA$54,$AA$60,$AA$66,$AA$72:$AA$79))*Parameters!$B$37/12</f>
        <v>135147.6817094045</v>
      </c>
      <c r="P81" s="46">
        <f>(SUM($AA$18:$AA$29)-SUM($AA$36,$AA$42,$AA$48,$AA$54,$AA$60,$AA$66,$AA$72:$AA$79))*Parameters!$B$37/12</f>
        <v>135147.6817094045</v>
      </c>
      <c r="Q81" s="46">
        <f>(SUM($AA$18:$AA$29)-SUM($AA$36,$AA$42,$AA$48,$AA$54,$AA$60,$AA$66,$AA$72:$AA$79))*Parameters!$B$37/12</f>
        <v>135147.6817094045</v>
      </c>
      <c r="R81" s="46">
        <f>(SUM($AA$18:$AA$29)-SUM($AA$36,$AA$42,$AA$48,$AA$54,$AA$60,$AA$66,$AA$72:$AA$79))*Parameters!$B$37/12</f>
        <v>135147.6817094045</v>
      </c>
      <c r="S81" s="46">
        <f>(SUM($AA$18:$AA$29)-SUM($AA$36,$AA$42,$AA$48,$AA$54,$AA$60,$AA$66,$AA$72:$AA$79))*Parameters!$B$37/12</f>
        <v>135147.6817094045</v>
      </c>
      <c r="T81" s="46">
        <f>(SUM($AA$18:$AA$29)-SUM($AA$36,$AA$42,$AA$48,$AA$54,$AA$60,$AA$66,$AA$72:$AA$79))*Parameters!$B$37/12</f>
        <v>135147.6817094045</v>
      </c>
      <c r="U81" s="46">
        <f>(SUM($AA$18:$AA$29)-SUM($AA$36,$AA$42,$AA$48,$AA$54,$AA$60,$AA$66,$AA$72:$AA$79))*Parameters!$B$37/12</f>
        <v>135147.6817094045</v>
      </c>
      <c r="V81" s="46">
        <f>(SUM($AA$18:$AA$29)-SUM($AA$36,$AA$42,$AA$48,$AA$54,$AA$60,$AA$66,$AA$72:$AA$79))*Parameters!$B$37/12</f>
        <v>135147.6817094045</v>
      </c>
      <c r="W81" s="46">
        <f>(SUM($AA$18:$AA$29)-SUM($AA$36,$AA$42,$AA$48,$AA$54,$AA$60,$AA$66,$AA$72:$AA$79))*Parameters!$B$37/12</f>
        <v>135147.6817094045</v>
      </c>
      <c r="X81" s="46">
        <f>(SUM($AA$18:$AA$29)-SUM($AA$36,$AA$42,$AA$48,$AA$54,$AA$60,$AA$66,$AA$72:$AA$79))*Parameters!$B$37/12</f>
        <v>135147.6817094045</v>
      </c>
      <c r="Y81" s="46">
        <f>(SUM($AA$18:$AA$29)-SUM($AA$36,$AA$42,$AA$48,$AA$54,$AA$60,$AA$66,$AA$72:$AA$79))*Parameters!$B$37/12</f>
        <v>135147.6817094045</v>
      </c>
      <c r="Z81" s="46">
        <f>SUMIF($B$13:$Y$13,"Yes",B81:Y81)</f>
        <v>1892067.543931663</v>
      </c>
      <c r="AA81" s="46">
        <f>SUM(B81:M81)</f>
        <v>1621772.180512854</v>
      </c>
      <c r="AB81" s="46">
        <f>SUM(B81:Y81)</f>
        <v>3243544.361025709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330400.0992951301</v>
      </c>
      <c r="C88" s="19">
        <f>SUM(C72:C82,C66,C60,C54,C48,C42,C36)</f>
        <v>311053.9317094045</v>
      </c>
      <c r="D88" s="19">
        <f>SUM(D72:D82,D66,D60,D54,D48,D42,D36)</f>
        <v>398516.9317094045</v>
      </c>
      <c r="E88" s="19">
        <f>SUM(E72:E82,E66,E60,E54,E48,E42,E36)</f>
        <v>335653.9317094045</v>
      </c>
      <c r="F88" s="19">
        <f>SUM(F72:F82,F66,F60,F54,F48,F42,F36)</f>
        <v>357553.9317094045</v>
      </c>
      <c r="G88" s="19">
        <f>SUM(G72:G82,G66,G60,G54,G48,G42,G36)</f>
        <v>339653.9317094045</v>
      </c>
      <c r="H88" s="19">
        <f>SUM(H72:H82,H66,H60,H54,H48,H42,H36)</f>
        <v>330400.0992951301</v>
      </c>
      <c r="I88" s="19">
        <f>SUM(I72:I82,I66,I60,I54,I48,I42,I36)</f>
        <v>311053.9317094045</v>
      </c>
      <c r="J88" s="19">
        <f>SUM(J72:J82,J66,J60,J54,J48,J42,J36)</f>
        <v>398516.9317094045</v>
      </c>
      <c r="K88" s="19">
        <f>SUM(K72:K82,K66,K60,K54,K48,K42,K36)</f>
        <v>335653.9317094045</v>
      </c>
      <c r="L88" s="19">
        <f>SUM(L72:L82,L66,L60,L54,L48,L42,L36)</f>
        <v>357553.9317094045</v>
      </c>
      <c r="M88" s="19">
        <f>SUM(M72:M82,M66,M60,M54,M48,M42,M36)</f>
        <v>339653.9317094045</v>
      </c>
      <c r="N88" s="19">
        <f>SUM(N72:N82,N66,N60,N54,N48,N42,N36)</f>
        <v>330400.0992951301</v>
      </c>
      <c r="O88" s="19">
        <f>SUM(O72:O82,O66,O60,O54,O48,O42,O36)</f>
        <v>311053.9317094045</v>
      </c>
      <c r="P88" s="19">
        <f>SUM(P72:P82,P66,P60,P54,P48,P42,P36)</f>
        <v>398516.9317094045</v>
      </c>
      <c r="Q88" s="19">
        <f>SUM(Q72:Q82,Q66,Q60,Q54,Q48,Q42,Q36)</f>
        <v>335653.9317094045</v>
      </c>
      <c r="R88" s="19">
        <f>SUM(R72:R82,R66,R60,R54,R48,R42,R36)</f>
        <v>357553.9317094045</v>
      </c>
      <c r="S88" s="19">
        <f>SUM(S72:S82,S66,S60,S54,S48,S42,S36)</f>
        <v>339653.9317094045</v>
      </c>
      <c r="T88" s="19">
        <f>SUM(T72:T82,T66,T60,T54,T48,T42,T36)</f>
        <v>330400.0992951301</v>
      </c>
      <c r="U88" s="19">
        <f>SUM(U72:U82,U66,U60,U54,U48,U42,U36)</f>
        <v>311053.9317094045</v>
      </c>
      <c r="V88" s="19">
        <f>SUM(V72:V82,V66,V60,V54,V48,V42,V36)</f>
        <v>398516.9317094045</v>
      </c>
      <c r="W88" s="19">
        <f>SUM(W72:W82,W66,W60,W54,W48,W42,W36)</f>
        <v>335653.9317094045</v>
      </c>
      <c r="X88" s="19">
        <f>SUM(X72:X82,X66,X60,X54,X48,X42,X36)</f>
        <v>357553.9317094045</v>
      </c>
      <c r="Y88" s="19">
        <f>SUM(Y72:Y82,Y66,Y60,Y54,Y48,Y42,Y36)</f>
        <v>339653.9317094045</v>
      </c>
      <c r="Z88" s="19">
        <f>SUMIF($B$13:$Y$13,"Yes",B88:Y88)</f>
        <v>4787119.54668884</v>
      </c>
      <c r="AA88" s="19">
        <f>SUM(B88:M88)</f>
        <v>4145665.515684305</v>
      </c>
      <c r="AB88" s="19">
        <f>SUM(B88:Y88)</f>
        <v>8291331.031368607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3860000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12075000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17085000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15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96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5</v>
      </c>
      <c r="N9" s="154">
        <v>0</v>
      </c>
    </row>
    <row r="10" spans="1:48">
      <c r="A10" s="143" t="s">
        <v>97</v>
      </c>
      <c r="B10" s="16"/>
      <c r="C10" s="143">
        <v>0</v>
      </c>
      <c r="D10" s="16"/>
      <c r="E10" s="147" t="s">
        <v>98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/>
      <c r="L10" s="16"/>
      <c r="M10" s="165">
        <v>5</v>
      </c>
      <c r="N10" s="154">
        <v>0</v>
      </c>
    </row>
    <row r="11" spans="1:48">
      <c r="A11" s="144" t="s">
        <v>99</v>
      </c>
      <c r="B11" s="23"/>
      <c r="C11" s="144">
        <v>3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15</v>
      </c>
      <c r="D19" s="145">
        <v>10</v>
      </c>
      <c r="E19" s="20"/>
      <c r="F19" s="145" t="s">
        <v>92</v>
      </c>
      <c r="G19" s="20"/>
      <c r="H19" s="20"/>
      <c r="I19" s="145" t="s">
        <v>114</v>
      </c>
      <c r="J19" s="145">
        <v>5</v>
      </c>
      <c r="K19" s="145"/>
      <c r="L19" s="25"/>
    </row>
    <row r="20" spans="1:48">
      <c r="A20" s="143" t="s">
        <v>115</v>
      </c>
      <c r="B20" s="16"/>
      <c r="C20" s="143">
        <v>20</v>
      </c>
      <c r="D20" s="147"/>
      <c r="E20" s="16"/>
      <c r="F20" s="147" t="s">
        <v>116</v>
      </c>
      <c r="G20" s="16"/>
      <c r="H20" s="16"/>
      <c r="I20" s="147" t="s">
        <v>117</v>
      </c>
      <c r="J20" s="147"/>
      <c r="K20" s="147"/>
      <c r="L20" s="30"/>
    </row>
    <row r="21" spans="1:48">
      <c r="A21" s="144" t="s">
        <v>118</v>
      </c>
      <c r="B21" s="23"/>
      <c r="C21" s="144">
        <v>30</v>
      </c>
      <c r="D21" s="150">
        <v>20</v>
      </c>
      <c r="E21" s="23"/>
      <c r="F21" s="150" t="s">
        <v>92</v>
      </c>
      <c r="G21" s="23"/>
      <c r="H21" s="23"/>
      <c r="I21" s="150" t="s">
        <v>117</v>
      </c>
      <c r="J21" s="150"/>
      <c r="K21" s="150"/>
      <c r="L21" s="31"/>
    </row>
    <row r="23" spans="1:48">
      <c r="A23" s="3" t="s">
        <v>119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120</v>
      </c>
      <c r="B25" s="177">
        <v>100</v>
      </c>
    </row>
    <row r="27" spans="1:48">
      <c r="A27" s="14" t="s">
        <v>121</v>
      </c>
    </row>
    <row r="29" spans="1:48">
      <c r="A29" s="45" t="s">
        <v>122</v>
      </c>
      <c r="B29" s="156" t="s">
        <v>123</v>
      </c>
    </row>
    <row r="30" spans="1:48">
      <c r="A30" s="44" t="s">
        <v>124</v>
      </c>
      <c r="B30" s="157">
        <v>250000</v>
      </c>
    </row>
    <row r="31" spans="1:48">
      <c r="A31" s="5" t="s">
        <v>125</v>
      </c>
      <c r="B31" s="158">
        <v>150000</v>
      </c>
    </row>
    <row r="33" spans="1:48">
      <c r="A33" s="14" t="s">
        <v>126</v>
      </c>
    </row>
    <row r="34" spans="1:48">
      <c r="A34" s="10" t="s">
        <v>127</v>
      </c>
      <c r="B34" s="10" t="s">
        <v>128</v>
      </c>
      <c r="C34" s="10" t="s">
        <v>129</v>
      </c>
      <c r="D34" s="48" t="s">
        <v>130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132</v>
      </c>
      <c r="B40" s="160" t="s">
        <v>92</v>
      </c>
    </row>
    <row r="41" spans="1:48">
      <c r="A41" s="55" t="s">
        <v>133</v>
      </c>
      <c r="B41" s="140"/>
    </row>
    <row r="42" spans="1:48">
      <c r="A42" s="55" t="s">
        <v>134</v>
      </c>
      <c r="B42" s="139"/>
    </row>
    <row r="43" spans="1:48">
      <c r="A43" s="55" t="s">
        <v>135</v>
      </c>
      <c r="B43" s="160" t="s">
        <v>136</v>
      </c>
    </row>
    <row r="44" spans="1:48">
      <c r="A44" s="56" t="s">
        <v>137</v>
      </c>
      <c r="B44" s="160" t="s">
        <v>92</v>
      </c>
    </row>
    <row r="45" spans="1:48">
      <c r="A45" s="56" t="s">
        <v>138</v>
      </c>
      <c r="B45" s="161">
        <v>800000</v>
      </c>
    </row>
    <row r="46" spans="1:48" customHeight="1" ht="30">
      <c r="A46" s="57" t="s">
        <v>139</v>
      </c>
      <c r="B46" s="161">
        <v>100000</v>
      </c>
    </row>
    <row r="47" spans="1:48" customHeight="1" ht="30">
      <c r="A47" s="57" t="s">
        <v>140</v>
      </c>
      <c r="B47" s="161">
        <v>200000</v>
      </c>
    </row>
    <row r="48" spans="1:48" customHeight="1" ht="30">
      <c r="A48" s="57" t="s">
        <v>141</v>
      </c>
      <c r="B48" s="161">
        <v>0</v>
      </c>
    </row>
    <row r="49" spans="1:48" customHeight="1" ht="30">
      <c r="A49" s="57" t="s">
        <v>142</v>
      </c>
      <c r="B49" s="161">
        <v>50000</v>
      </c>
    </row>
    <row r="50" spans="1:48">
      <c r="A50" s="43"/>
      <c r="B50" s="36"/>
    </row>
    <row r="51" spans="1:48">
      <c r="A51" s="58" t="s">
        <v>143</v>
      </c>
      <c r="B51" s="161">
        <v>0</v>
      </c>
    </row>
    <row r="52" spans="1:48">
      <c r="A52" s="43"/>
    </row>
    <row r="53" spans="1:48">
      <c r="A53" s="3" t="s">
        <v>144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145</v>
      </c>
      <c r="B55" s="10" t="s">
        <v>146</v>
      </c>
      <c r="C55" s="10" t="s">
        <v>147</v>
      </c>
      <c r="D55" s="10" t="s">
        <v>148</v>
      </c>
      <c r="E55" s="10" t="s">
        <v>149</v>
      </c>
      <c r="F55" s="10" t="s">
        <v>150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130</v>
      </c>
      <c r="B65" s="10" t="s">
        <v>152</v>
      </c>
      <c r="C65" s="10" t="s">
        <v>153</v>
      </c>
    </row>
    <row r="66" spans="1:48">
      <c r="A66" s="142" t="s">
        <v>154</v>
      </c>
      <c r="B66" s="159">
        <v>120000</v>
      </c>
      <c r="C66" s="163">
        <v>100000</v>
      </c>
      <c r="D66" s="49">
        <f>INDEX(Parameters!$D$79:$D$90,MATCH(Inputs!A66,Parameters!$C$79:$C$90,0))</f>
        <v>5</v>
      </c>
    </row>
    <row r="67" spans="1:48">
      <c r="A67" s="143" t="s">
        <v>155</v>
      </c>
      <c r="B67" s="157">
        <v>112000</v>
      </c>
      <c r="C67" s="165">
        <v>119564</v>
      </c>
      <c r="D67" s="49">
        <f>INDEX(Parameters!$D$79:$D$90,MATCH(Inputs!A67,Parameters!$C$79:$C$90,0))</f>
        <v>6</v>
      </c>
    </row>
    <row r="68" spans="1:48">
      <c r="A68" s="143" t="s">
        <v>156</v>
      </c>
      <c r="B68" s="157">
        <v>141000</v>
      </c>
      <c r="C68" s="165">
        <v>136542</v>
      </c>
      <c r="D68" s="49">
        <f>INDEX(Parameters!$D$79:$D$90,MATCH(Inputs!A68,Parameters!$C$79:$C$90,0))</f>
        <v>7</v>
      </c>
    </row>
    <row r="69" spans="1:48">
      <c r="A69" s="143" t="s">
        <v>157</v>
      </c>
      <c r="B69" s="157">
        <v>156754</v>
      </c>
      <c r="C69" s="165">
        <v>114786</v>
      </c>
      <c r="D69" s="49">
        <f>INDEX(Parameters!$D$79:$D$90,MATCH(Inputs!A69,Parameters!$C$79:$C$90,0))</f>
        <v>8</v>
      </c>
    </row>
    <row r="70" spans="1:48">
      <c r="A70" s="143" t="s">
        <v>158</v>
      </c>
      <c r="B70" s="157">
        <v>114654</v>
      </c>
      <c r="C70" s="165">
        <v>111476</v>
      </c>
      <c r="D70" s="49">
        <f>INDEX(Parameters!$D$79:$D$90,MATCH(Inputs!A70,Parameters!$C$79:$C$90,0))</f>
        <v>9</v>
      </c>
    </row>
    <row r="71" spans="1:48">
      <c r="A71" s="144" t="s">
        <v>159</v>
      </c>
      <c r="B71" s="158">
        <v>125428</v>
      </c>
      <c r="C71" s="167">
        <v>122457</v>
      </c>
      <c r="D71" s="49">
        <f>INDEX(Parameters!$D$79:$D$90,MATCH(Inputs!A71,Parameters!$C$79:$C$90,0))</f>
        <v>10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6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200000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1790.802205741412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83361.84267726271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18000</v>
      </c>
      <c r="AA4" s="33">
        <f>IFERROR(IF(Inputs!N7&gt;0,INDEX(Parameters!$A$3:$AI$17,MATCH(Calculations!A4,Parameters!$A$3:$A$17,0),MATCH(Parameters!$R$3,Parameters!$A$3:$AI$3,0)),0)*M4/S4,0)</f>
        <v>746.1675857255883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15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14244.26079240275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568346.0056168698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4545.000000000001</v>
      </c>
      <c r="W5" s="34">
        <f>IFERROR(J5*H5*Parameters!$B$35+IF(OR(Inputs!F8=Parameters!$E$78,Inputs!F8=Parameters!$E$80),Calculations!H5*Parameters!$B$36,0),0)</f>
        <v>30000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4500</v>
      </c>
      <c r="Z5" s="34">
        <f>IF(Inputs!I8=Parameters!$F$78,H5*INDEX(Parameters!$A$3:$AI$18,MATCH(Calculations!A5,Parameters!$A$3:$A$18,0),MATCH(Parameters!$Q$3,Parameters!$A$3:$AI$3,0)),0)</f>
        <v>75000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Onions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43191</v>
      </c>
      <c r="D6" s="39">
        <f>IFERROR(DATE(YEAR(B6),MONTH(B6)+T6,DAY(B6)),"")</f>
        <v>43252</v>
      </c>
      <c r="E6" s="39">
        <f>IFERROR(IF($S6=0,"",IF($S6=2,DATE(YEAR(B6),MONTH(B6)+6,DAY(B6)),IF($S6=1,B6,""))),"")</f>
        <v>43282</v>
      </c>
      <c r="F6" s="39">
        <f>IFERROR(IF($S6=0,"",IF($S6=2,DATE(YEAR(C6),MONTH(C6)+6,DAY(C6)),IF($S6=1,C6,""))),"")</f>
        <v>43374</v>
      </c>
      <c r="G6" s="39">
        <f>IFERROR(IF($S6=0,"",IF($S6=2,DATE(YEAR(D6),MONTH(D6)+6,DAY(D6)),IF($S6=1,D6,""))),"")</f>
        <v>43435</v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3479.15654460647</v>
      </c>
      <c r="M6" s="30">
        <f>L6*H6</f>
        <v>6958.313089212939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56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740364.5126922567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5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3000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4000</v>
      </c>
      <c r="Z6" s="34">
        <f>IF(Inputs!I9=Parameters!$F$78,H6*INDEX(Parameters!$A$3:$AI$18,MATCH(Calculations!A6,Parameters!$A$3:$A$18,0),MATCH(Parameters!$Q$3,Parameters!$A$3:$AI$3,0)),0)</f>
        <v>14000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Potatoes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43101</v>
      </c>
      <c r="C7" s="39">
        <f>IFERROR(DATE(YEAR(B7),MONTH(B7)+ROUND(T7/2,0),DAY(B7)),B7)</f>
        <v>43160</v>
      </c>
      <c r="D7" s="39">
        <f>IFERROR(DATE(YEAR(B7),MONTH(B7)+T7,DAY(B7)),"")</f>
        <v>43221</v>
      </c>
      <c r="E7" s="39">
        <f>IFERROR(IF($S7=0,"",IF($S7=2,DATE(YEAR(B7),MONTH(B7)+6,DAY(B7)),IF($S7=1,B7,""))),"")</f>
        <v>43282</v>
      </c>
      <c r="F7" s="39">
        <f>IFERROR(IF($S7=0,"",IF($S7=2,DATE(YEAR(C7),MONTH(C7)+6,DAY(C7)),IF($S7=1,C7,""))),"")</f>
        <v>43344</v>
      </c>
      <c r="G7" s="39">
        <f>IFERROR(IF($S7=0,"",IF($S7=2,DATE(YEAR(D7),MONTH(D7)+6,DAY(D7)),IF($S7=1,D7,""))),"")</f>
        <v>43405</v>
      </c>
      <c r="H7" s="16">
        <f>Inputs!C10</f>
        <v>0</v>
      </c>
      <c r="I7" s="138" t="str">
        <f>IFERROR(VLOOKUP(Inputs!E10,Parameters!$J$77:$K$81,2,0),"")</f>
        <v>No</v>
      </c>
      <c r="J7" s="27" t="str">
        <f>IFERROR(Inputs!G10/Calculations!H7,"")</f>
        <v/>
      </c>
      <c r="K7" s="27">
        <f>IFERROR(INDEX(Parameters!$A$3:$V$17,MATCH(Calculations!$A7,Parameters!$A$3:$A$17,0),MATCH(Parameters!$I$3,Parameters!$A$3:$V$3,0)),0)</f>
        <v>200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6720.327905807776</v>
      </c>
      <c r="M7" s="30">
        <f>L7*H7</f>
        <v>0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11.2</v>
      </c>
      <c r="P7" s="22">
        <f>IFERROR(INDEX(Parameters!$A$3:$V$17,MATCH(Calculations!$A7,Parameters!$A$3:$A$17,0),MATCH($P$3,Parameters!$A$3:$V$3,0)),0)</f>
        <v>0</v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4</v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Cabbages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43101</v>
      </c>
      <c r="C8" s="40">
        <f>IFERROR(DATE(YEAR(B8),MONTH(B8)+ROUND(T8/2,0),DAY(B8)),B8)</f>
        <v>43160</v>
      </c>
      <c r="D8" s="40">
        <f>IFERROR(DATE(YEAR(B8),MONTH(B8)+T8,DAY(B8)),"")</f>
        <v>43191</v>
      </c>
      <c r="E8" s="40">
        <f>IFERROR(IF($S8=0,"",IF($S8=2,DATE(YEAR(B8),MONTH(B8)+6,DAY(B8)),IF($S8=1,B8,""))),"")</f>
        <v>43282</v>
      </c>
      <c r="F8" s="40">
        <f>IFERROR(IF($S8=0,"",IF($S8=2,DATE(YEAR(C8),MONTH(C8)+6,DAY(C8)),IF($S8=1,C8,""))),"")</f>
        <v>43344</v>
      </c>
      <c r="G8" s="40">
        <f>IFERROR(IF($S8=0,"",IF($S8=2,DATE(YEAR(D8),MONTH(D8)+6,DAY(D8)),IF($S8=1,D8,""))),"")</f>
        <v>43374</v>
      </c>
      <c r="H8" s="23">
        <f>Inputs!C11</f>
        <v>3</v>
      </c>
      <c r="I8" s="119" t="str">
        <f>IFERROR(VLOOKUP(Inputs!E11,Parameters!$J$77:$K$81,2,0),"")</f>
        <v>Yes</v>
      </c>
      <c r="J8" s="28">
        <f>IFERROR(Inputs!G11/Calculations!H8,"")</f>
        <v>0</v>
      </c>
      <c r="K8" s="28">
        <f>IFERROR(INDEX(Parameters!$A$3:$V$17,MATCH(Calculations!$A8,Parameters!$A$3:$A$17,0),MATCH(Parameters!$I$3,Parameters!$A$3:$V$3,0)),0)</f>
        <v>120</v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9022.633424063135</v>
      </c>
      <c r="M8" s="31">
        <f>L8*H8</f>
        <v>27067.90027218941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14</v>
      </c>
      <c r="P8" s="24">
        <f>IFERROR(INDEX(Parameters!$A$3:$V$17,MATCH(Calculations!$A8,Parameters!$A$3:$A$17,0),MATCH($P$3,Parameters!$A$3:$V$3,0)),0)</f>
        <v>0</v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>2</v>
      </c>
      <c r="T8" s="31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>3</v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1818</v>
      </c>
      <c r="W8" s="35">
        <f>IFERROR(J8*H8*Parameters!$B$35+IF(OR(Inputs!F11=Parameters!$E$78,Inputs!F11=Parameters!$E$80),Calculations!H8*Parameters!$B$36,0),0)</f>
        <v>6000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8400</v>
      </c>
      <c r="Z8" s="35">
        <f>IF(Inputs!I11=Parameters!$F$78,H8*INDEX(Parameters!$A$3:$AI$18,MATCH(Calculations!A8,Parameters!$A$3:$A$18,0),MATCH(Parameters!$Q$3,Parameters!$A$3:$AI$3,0)),0)</f>
        <v>24000</v>
      </c>
      <c r="AA8" s="35">
        <f>IFERROR(IF(Inputs!N11&gt;0,INDEX(Parameters!$A$3:$AI$17,MATCH(Calculations!A8,Parameters!$A$3:$A$17,0),MATCH(Parameters!$R$3,Parameters!$A$3:$AI$3,0)),0)*M8/S8,0)</f>
        <v>0</v>
      </c>
      <c r="AB8" s="35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15</v>
      </c>
      <c r="E14" s="16">
        <f>Inputs!D19</f>
        <v>10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1916250</v>
      </c>
      <c r="Q14" s="63">
        <f>IFERROR(D14*INDEX(Parameters!$A$22:$P$29,MATCH(Calculations!$A14,Parameters!$A$22:$A$29,0),MATCH(Parameters!$L$22,Parameters!$A$22:$P$22,0))*IF(Inputs!I19="Always",1,IF(Inputs!I19="Sometimes",0.5,0))*365,"")</f>
        <v>136875</v>
      </c>
      <c r="R14" s="63">
        <f>IFERROR(D14*INDEX(Parameters!$A$22:$P$29,MATCH(Calculations!$A14,Parameters!$A$22:$A$29,0),MATCH(Parameters!$M$22,Parameters!$A$22:$P$22,0)),"")</f>
        <v>15000</v>
      </c>
      <c r="S14" s="63">
        <f>IFERROR(D14*INDEX(Parameters!$A$22:$P$29,MATCH(Calculations!$A14,Parameters!$A$22:$A$29,0),MATCH(Parameters!$N$22,Parameters!$A$22:$P$22,0)),"")</f>
        <v>90000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20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153333.3333333333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12000</v>
      </c>
      <c r="S15" s="64">
        <f>IFERROR(D15*INDEX(Parameters!$A$22:$P$29,MATCH(Calculations!$A15,Parameters!$A$22:$A$29,0),MATCH(Parameters!$N$22,Parameters!$A$22:$P$22,0)),"")</f>
        <v>14000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30</v>
      </c>
      <c r="E16" s="16">
        <f>Inputs!D21</f>
        <v>20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</v>
      </c>
      <c r="H16" s="122">
        <f>IFERROR(IF(B16="meat",INDEX(Parameters!$A$22:$P$29,MATCH(Calculations!A16,Parameters!$A$22:$A$29,0),MATCH(Parameters!$I$22,Parameters!$A$22:$P$22,0))*G16,""),"")</f>
        <v>30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112500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6000</v>
      </c>
      <c r="S16" s="64">
        <f>IFERROR(D16*INDEX(Parameters!$A$22:$P$29,MATCH(Calculations!$A16,Parameters!$A$22:$A$29,0),MATCH(Parameters!$N$22,Parameters!$A$22:$P$22,0)),"")</f>
        <v>9000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2</v>
      </c>
      <c r="H17" s="123">
        <f>IFERROR(IF(B17="meat",INDEX(Parameters!$A$22:$P$29,MATCH(Calculations!A17,Parameters!$A$22:$A$29,0),MATCH(Parameters!$I$22,Parameters!$A$22:$P$22,0))*G17,""),"")</f>
        <v>30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225000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145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43101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43101</v>
      </c>
      <c r="F33" t="s">
        <v>165</v>
      </c>
      <c r="G33" s="128">
        <f>IF(Inputs!B79="","",DATE(YEAR(Inputs!B79),MONTH(Inputs!B79),DAY(Inputs!B79)))</f>
        <v>43061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43132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43132</v>
      </c>
      <c r="F34" t="s">
        <v>166</v>
      </c>
      <c r="G34" s="128">
        <f>IF(Inputs!B80="","",DATE(YEAR(Inputs!B80),MONTH(Inputs!B80),DAY(Inputs!B80)))</f>
        <v>43101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43160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43160</v>
      </c>
      <c r="F35" t="s">
        <v>168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43191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43191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43221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43221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43252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43252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43282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43282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43313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43313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43344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43344</v>
      </c>
      <c r="F41" t="s">
        <v>232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43374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43374</v>
      </c>
      <c r="F42" t="s">
        <v>233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43405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43435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206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115</v>
      </c>
      <c r="B26" s="16" t="s">
        <v>298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298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118</v>
      </c>
      <c r="B28" s="71" t="s">
        <v>298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298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101</v>
      </c>
      <c r="B41" s="191" t="s">
        <v>116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115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118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313</v>
      </c>
      <c r="H52" s="12" t="s">
        <v>136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234</v>
      </c>
      <c r="E53" s="10" t="s">
        <v>193</v>
      </c>
      <c r="F53" s="10" t="s">
        <v>253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171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230</v>
      </c>
      <c r="J76" s="11" t="s">
        <v>347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116</v>
      </c>
      <c r="F77" s="12" t="s">
        <v>116</v>
      </c>
      <c r="G77" s="12" t="s">
        <v>117</v>
      </c>
      <c r="H77" s="12" t="s">
        <v>136</v>
      </c>
      <c r="I77" s="12" t="s">
        <v>349</v>
      </c>
      <c r="J77" s="136" t="s">
        <v>350</v>
      </c>
      <c r="K77" s="12" t="s">
        <v>116</v>
      </c>
      <c r="AJ77" s="12"/>
    </row>
    <row r="78" spans="1:36">
      <c r="A78" t="s">
        <v>116</v>
      </c>
      <c r="B78" s="176">
        <v>5</v>
      </c>
      <c r="C78" s="134" t="s">
        <v>351</v>
      </c>
      <c r="D78" s="133"/>
      <c r="E78" s="12" t="s">
        <v>352</v>
      </c>
      <c r="F78" s="12" t="s">
        <v>93</v>
      </c>
      <c r="G78" s="12" t="s">
        <v>114</v>
      </c>
      <c r="H78" s="12" t="s">
        <v>314</v>
      </c>
      <c r="I78" s="12" t="s">
        <v>353</v>
      </c>
      <c r="J78" s="70" t="s">
        <v>354</v>
      </c>
      <c r="K78" s="12" t="s">
        <v>116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171</v>
      </c>
      <c r="J79" s="70" t="s">
        <v>98</v>
      </c>
      <c r="K79" s="12" t="s">
        <v>116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89.99999999999999</v>
      </c>
      <c r="C87" s="12" t="s">
        <v>158</v>
      </c>
      <c r="D87" s="12">
        <f>D86+1</f>
        <v>9</v>
      </c>
    </row>
    <row r="88" spans="1:36">
      <c r="B88" s="176">
        <v>99.99999999999999</v>
      </c>
      <c r="C88" s="12" t="s">
        <v>159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