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<sst xmlns="http://schemas.openxmlformats.org/spreadsheetml/2006/main" uniqueCount="366">
  <si>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</si>
  <si>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</si>
  <si>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</si>
  <si>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</si>
  <si>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</si>
  <si>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</si>
  <si>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</si>
  <si>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</si>
  <si>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</si>
  <si>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</si>
  <si>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</si>
  <si>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</si>
  <si>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</si>
  <si>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</si>
  <si>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</si>
  <si>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</si>
  <si>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</si>
  <si>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</si>
  <si>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</si>
  <si>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</si>
  <si>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</si>
  <si>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</si>
  <si>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</si>
  <si>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</si>
  <si>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</si>
  <si>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</si>
  <si>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</si>
  <si>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</si>
  <si>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</si>
  <si>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</si>
  <si>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</si>
  <si>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</si>
  <si>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</si>
  <si>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</si>
  <si>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</si>
  <si>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</si>
  <si>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</si>
  <si>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</si>
  <si>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</si>
  <si>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</si>
  <si>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</si>
  <si>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</si>
  <si>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</si>
  <si>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</si>
  <si>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</si>
  <si>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</si>
  <si>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</si>
  <si>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</si>
  <si>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</si>
  <si>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</si>
  <si>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</si>
  <si>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</si>
  <si>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</si>
  <si>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</si>
  <si>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</si>
  <si>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</si>
  <si>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</si>
  <si>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</si>
  <si>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</si>
  <si>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</si>
  <si>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</si>
  <si>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</si>
  <si>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</si>
  <si>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</si>
  <si>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</si>
  <si>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</si>
  <si>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</si>
  <si>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</si>
  <si>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</si>
  <si>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</si>
  <si>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</si>
  <si>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</si>
  <si>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</si>
  <si>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</si>
  <si>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</si>
  <si>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</si>
  <si>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</si>
  <si>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</si>
  <si>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</si>
  <si>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</si>
  <si>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</si>
  <si>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</si>
  <si>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</si>
  <si>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</si>
  <si>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</si>
  <si>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</si>
  <si>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</si>
  <si>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</si>
  <si>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</si>
  <si>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</si>
  <si>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</si>
  <si>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</si>
  <si>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</si>
  <si>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</si>
  <si>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</si>
  <si>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</si>
  <si>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</si>
  <si>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</si>
  <si>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</si>
  <si>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</si>
  <si>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</si>
  <si>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</si>
  <si>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</si>
  <si>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</si>
  <si>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</si>
  <si>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</si>
  <si>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</si>
  <si>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</si>
  <si>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</si>
  <si>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</si>
  <si>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</si>
  <si>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</si>
  <si>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</si>
  <si>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</si>
  <si>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</si>
  <si>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</si>
  <si>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</si>
  <si>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</si>
  <si>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</si>
  <si>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</si>
  <si>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</si>
  <si>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</si>
  <si>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</si>
  <si>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</si>
  <si>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</si>
  <si>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</si>
  <si>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</si>
  <si>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</si>
  <si>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</si>
  <si>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</si>
  <si>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</si>
  <si>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</si>
  <si>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</si>
  <si>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</si>
  <si>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</si>
  <si>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</si>
  <si>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</si>
  <si>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</si>
  <si>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</si>
  <si>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</si>
  <si>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</si>
  <si>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</si>
  <si>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</si>
  <si>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11/23/2017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</si>
  <si>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</si>
  <si>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</si>
  <si>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</si>
  <si>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</si>
  <si>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</si>
  <si>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</si>
  <si>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2017/11/23</t>
  </si>
  <si>
    <t>Loan terms</t>
  </si>
  <si>
    <t>Expected disbursement date</t>
  </si>
  <si>
    <t>Expected first repayment date</t>
  </si>
  <si>
    <t>2017/11/30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</si>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</sst>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August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1.138082191780822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2018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948.4018264840182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1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0</v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0</v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</v>
      </c>
      <c r="AA9" s="75">
        <f>SUM(B9:M9)</f>
        <v>5000</v>
      </c>
      <c r="AB9" s="75">
        <f>SUM(B9:Y9)</f>
        <v>5000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316.1339421613394</v>
      </c>
      <c r="C10" s="37">
        <f>SUMPRODUCT((Calculations!$D$33:$D$84=Output!C5)+0,Calculations!$C$33:$C$84)</f>
        <v>632.2678843226788</v>
      </c>
      <c r="D10" s="37">
        <f>SUMPRODUCT((Calculations!$D$33:$D$84=Output!D5)+0,Calculations!$C$33:$C$84)</f>
        <v>632.2678843226788</v>
      </c>
      <c r="E10" s="37">
        <f>SUMPRODUCT((Calculations!$D$33:$D$84=Output!E5)+0,Calculations!$C$33:$C$84)</f>
        <v>632.2678843226788</v>
      </c>
      <c r="F10" s="37">
        <f>SUMPRODUCT((Calculations!$D$33:$D$84=Output!F5)+0,Calculations!$C$33:$C$84)</f>
        <v>632.2678843226788</v>
      </c>
      <c r="G10" s="37">
        <f>SUMPRODUCT((Calculations!$D$33:$D$84=Output!G5)+0,Calculations!$C$33:$C$84)</f>
        <v>632.2678843226788</v>
      </c>
      <c r="H10" s="37">
        <f>SUMPRODUCT((Calculations!$D$33:$D$84=Output!H5)+0,Calculations!$C$33:$C$84)</f>
        <v>948.4018264840182</v>
      </c>
      <c r="I10" s="37">
        <f>SUMPRODUCT((Calculations!$D$33:$D$84=Output!I5)+0,Calculations!$C$33:$C$84)</f>
        <v>632.2678843226788</v>
      </c>
      <c r="J10" s="37">
        <f>SUMPRODUCT((Calculations!$D$33:$D$84=Output!J5)+0,Calculations!$C$33:$C$84)</f>
        <v>632.2678843226788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5690.410958904108</v>
      </c>
      <c r="AA10" s="37">
        <f>SUM(B10:M10)</f>
        <v>5690.410958904108</v>
      </c>
      <c r="AB10" s="37">
        <f>SUM(B10:Y10)</f>
        <v>5690.410958904108</v>
      </c>
    </row>
    <row r="11" spans="1:30" customHeight="1" ht="15.75">
      <c r="A11" s="43" t="s">
        <v>31</v>
      </c>
      <c r="B11" s="80">
        <f>B6+B9-B10</f>
        <v>4683.866057838661</v>
      </c>
      <c r="C11" s="80">
        <f>C6+C9-C10</f>
        <v>-632.2678843226788</v>
      </c>
      <c r="D11" s="80">
        <f>D6+D9-D10</f>
        <v>-632.2678843226788</v>
      </c>
      <c r="E11" s="80">
        <f>E6+E9-E10</f>
        <v>-632.2678843226788</v>
      </c>
      <c r="F11" s="80">
        <f>F6+F9-F10</f>
        <v>-632.2678843226788</v>
      </c>
      <c r="G11" s="80">
        <f>G6+G9-G10</f>
        <v>-632.2678843226788</v>
      </c>
      <c r="H11" s="80">
        <f>H6+H9-H10</f>
        <v>-948.4018264840182</v>
      </c>
      <c r="I11" s="80">
        <f>I6+I9-I10</f>
        <v>-632.2678843226788</v>
      </c>
      <c r="J11" s="80">
        <f>J6+J9-J10</f>
        <v>-632.2678843226788</v>
      </c>
      <c r="K11" s="80">
        <f>K6+K9-K10</f>
        <v>0</v>
      </c>
      <c r="L11" s="80">
        <f>L6+L9-L10</f>
        <v>0</v>
      </c>
      <c r="M11" s="80">
        <f>M6+M9-M10</f>
        <v>0</v>
      </c>
      <c r="N11" s="80">
        <f>N6+N9-N10</f>
        <v>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-690.4109589041083</v>
      </c>
      <c r="AA11" s="80">
        <f>SUM(B11:M11)</f>
        <v>-690.4109589041083</v>
      </c>
      <c r="AB11" s="46">
        <f>SUM(B11:Y11)</f>
        <v>-690.4109589041083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0.06322678843226788</v>
      </c>
      <c r="C12" s="82">
        <f>IF(C13="Yes",IF(SUM($B$10:C10)/(SUM($B$6:C6)+SUM($B$9:C9))&lt;0,999.99,SUM($B$10:C10)/(SUM($B$6:C6)+SUM($B$9:C9))),"")</f>
        <v>0.1896803652968037</v>
      </c>
      <c r="D12" s="82">
        <f>IF(D13="Yes",IF(SUM($B$10:D10)/(SUM($B$6:D6)+SUM($B$9:D9))&lt;0,999.99,SUM($B$10:D10)/(SUM($B$6:D6)+SUM($B$9:D9))),"")</f>
        <v>0.3161339421613394</v>
      </c>
      <c r="E12" s="82">
        <f>IF(E13="Yes",IF(SUM($B$10:E10)/(SUM($B$6:E6)+SUM($B$9:E9))&lt;0,999.99,SUM($B$10:E10)/(SUM($B$6:E6)+SUM($B$9:E9))),"")</f>
        <v>0.4425875190258752</v>
      </c>
      <c r="F12" s="82">
        <f>IF(F13="Yes",IF(SUM($B$10:F10)/(SUM($B$6:F6)+SUM($B$9:F9))&lt;0,999.99,SUM($B$10:F10)/(SUM($B$6:F6)+SUM($B$9:F9))),"")</f>
        <v>0.5690410958904109</v>
      </c>
      <c r="G12" s="82">
        <f>IF(G13="Yes",IF(SUM($B$10:G10)/(SUM($B$6:G6)+SUM($B$9:G9))&lt;0,999.99,SUM($B$10:G10)/(SUM($B$6:G6)+SUM($B$9:G9))),"")</f>
        <v>0.6954946727549466</v>
      </c>
      <c r="H12" s="82">
        <f>IF(H13="Yes",IF(SUM($B$10:H10)/(SUM($B$6:H6)+SUM($B$9:H9))&lt;0,999.99,SUM($B$10:H10)/(SUM($B$6:H6)+SUM($B$9:H9))),"")</f>
        <v>0.8851750380517502</v>
      </c>
      <c r="I12" s="82">
        <f>IF(I13="Yes",IF(SUM($B$10:I10)/(SUM($B$6:I6)+SUM($B$9:I9))&lt;0,999.99,SUM($B$10:I10)/(SUM($B$6:I6)+SUM($B$9:I9))),"")</f>
        <v>1.011628614916286</v>
      </c>
      <c r="J12" s="82">
        <f>IF(J13="Yes",IF(SUM($B$10:J10)/(SUM($B$6:J6)+SUM($B$9:J9))&lt;0,999.99,SUM($B$10:J10)/(SUM($B$6:J6)+SUM($B$9:J9))),"")</f>
        <v>1.138082191780822</v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5000</v>
      </c>
    </row>
    <row r="107" spans="1:30" customHeight="1" ht="15.75">
      <c r="A107" s="1" t="s">
        <v>72</v>
      </c>
      <c r="B107" s="19">
        <f>SUM(B104:B106)</f>
        <v>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109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109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>
        <v>0</v>
      </c>
      <c r="C35" s="145" t="s">
        <v>122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122</v>
      </c>
      <c r="D36" s="49">
        <f>IFERROR(VLOOKUP(C36,Parameters!$C$79:$D$90,2,0),"")</f>
        <v>12</v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0</v>
      </c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0</v>
      </c>
      <c r="B56" s="159">
        <v>0</v>
      </c>
      <c r="C56" s="162" t="s">
        <v>143</v>
      </c>
      <c r="D56" s="163"/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143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143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143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143</v>
      </c>
      <c r="D60" s="167"/>
      <c r="E60" s="167" t="s">
        <v>92</v>
      </c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122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122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122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122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122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122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19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5000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2</v>
      </c>
    </row>
    <row r="85" spans="1:48">
      <c r="A85" t="s">
        <v>160</v>
      </c>
      <c r="B85" s="169">
        <v>36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43586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Molo</v>
      </c>
    </row>
    <row r="33" spans="1:52">
      <c r="A33">
        <v>1</v>
      </c>
      <c r="B33" s="128">
        <f>G34</f>
        <v>43069</v>
      </c>
      <c r="C33" s="27">
        <f>IF(B33&lt;&gt;"",IF(COUNT($A$33:A33)&lt;=$G$39,0,$G$41)+IF(COUNT($A$33:A33)&lt;=$G$40,0,$G$42),0)</f>
        <v>316.1339421613394</v>
      </c>
      <c r="D33" s="170">
        <f>IFERROR(DATE(YEAR(B33),MONTH(B33),1)," ")</f>
        <v>43040</v>
      </c>
      <c r="F33" t="s">
        <v>152</v>
      </c>
      <c r="G33" s="128">
        <f>IF(Inputs!B79="","",DATE(YEAR(Inputs!B79),MONTH(Inputs!B79),DAY(Inputs!B79)))</f>
        <v>43062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43083</v>
      </c>
      <c r="C34" s="27">
        <f>IF(B34&lt;&gt;"",IF(COUNT($A$33:A34)&lt;=$G$39,0,$G$41)+IF(COUNT($A$33:A34)&lt;=$G$40,0,$G$42),0)</f>
        <v>316.1339421613394</v>
      </c>
      <c r="D34" s="170">
        <f>IFERROR(DATE(YEAR(B34),MONTH(B34),1)," ")</f>
        <v>43070</v>
      </c>
      <c r="F34" t="s">
        <v>153</v>
      </c>
      <c r="G34" s="128">
        <f>IF(Inputs!B80="","",DATE(YEAR(Inputs!B80),MONTH(Inputs!B80),DAY(Inputs!B80)))</f>
        <v>43069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43097</v>
      </c>
      <c r="C35" s="27">
        <f>IF(B35&lt;&gt;"",IF(COUNT($A$33:A35)&lt;=$G$39,0,$G$41)+IF(COUNT($A$33:A35)&lt;=$G$40,0,$G$42),0)</f>
        <v>316.1339421613394</v>
      </c>
      <c r="D35" s="170">
        <f>IFERROR(DATE(YEAR(B35),MONTH(B35),1)," ")</f>
        <v>43070</v>
      </c>
      <c r="F35" t="s">
        <v>155</v>
      </c>
      <c r="G35" s="27">
        <f>Inputs!B81</f>
        <v>5000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43111</v>
      </c>
      <c r="C36" s="27">
        <f>IF(B36&lt;&gt;"",IF(COUNT($A$33:A36)&lt;=$G$39,0,$G$41)+IF(COUNT($A$33:A36)&lt;=$G$40,0,$G$42),0)</f>
        <v>316.1339421613394</v>
      </c>
      <c r="D36" s="170">
        <f>IFERROR(DATE(YEAR(B36),MONTH(B36),1)," ")</f>
        <v>43101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43125</v>
      </c>
      <c r="C37" s="27">
        <f>IF(B37&lt;&gt;"",IF(COUNT($A$33:A37)&lt;=$G$39,0,$G$41)+IF(COUNT($A$33:A37)&lt;=$G$40,0,$G$42),0)</f>
        <v>316.1339421613394</v>
      </c>
      <c r="D37" s="170">
        <f>IFERROR(DATE(YEAR(B37),MONTH(B37),1)," ")</f>
        <v>43101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Fortnightly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43139</v>
      </c>
      <c r="C38" s="27">
        <f>IF(B38&lt;&gt;"",IF(COUNT($A$33:A38)&lt;=$G$39,0,$G$41)+IF(COUNT($A$33:A38)&lt;=$G$40,0,$G$42),0)</f>
        <v>316.1339421613394</v>
      </c>
      <c r="D38" s="170">
        <f>IFERROR(DATE(YEAR(B38),MONTH(B38),1)," ")</f>
        <v>43132</v>
      </c>
      <c r="F38" t="s">
        <v>218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43153</v>
      </c>
      <c r="C39" s="27">
        <f>IF(B39&lt;&gt;"",IF(COUNT($A$33:A39)&lt;=$G$39,0,$G$41)+IF(COUNT($A$33:A39)&lt;=$G$40,0,$G$42),0)</f>
        <v>316.1339421613394</v>
      </c>
      <c r="D39" s="170">
        <f>IFERROR(DATE(YEAR(B39),MONTH(B39),1)," ")</f>
        <v>43132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43167</v>
      </c>
      <c r="C40" s="27">
        <f>IF(B40&lt;&gt;"",IF(COUNT($A$33:A40)&lt;=$G$39,0,$G$41)+IF(COUNT($A$33:A40)&lt;=$G$40,0,$G$42),0)</f>
        <v>316.1339421613394</v>
      </c>
      <c r="D40" s="170">
        <f>IFERROR(DATE(YEAR(B40),MONTH(B40),1)," ")</f>
        <v>43160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43181</v>
      </c>
      <c r="C41" s="27">
        <f>IF(B41&lt;&gt;"",IF(COUNT($A$33:A41)&lt;=$G$39,0,$G$41)+IF(COUNT($A$33:A41)&lt;=$G$40,0,$G$42),0)</f>
        <v>316.1339421613394</v>
      </c>
      <c r="D41" s="170">
        <f>IFERROR(DATE(YEAR(B41),MONTH(B41),1)," ")</f>
        <v>43160</v>
      </c>
      <c r="F41" t="s">
        <v>219</v>
      </c>
      <c r="G41" s="73">
        <f>IFERROR(G35/(G38-G39),"")</f>
        <v>277.7777777777778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43195</v>
      </c>
      <c r="C42" s="27">
        <f>IF(B42&lt;&gt;"",IF(COUNT($A$33:A42)&lt;=$G$39,0,$G$41)+IF(COUNT($A$33:A42)&lt;=$G$40,0,$G$42),0)</f>
        <v>316.1339421613394</v>
      </c>
      <c r="D42" s="170">
        <f>IFERROR(DATE(YEAR(B42),MONTH(B42),1)," ")</f>
        <v>43191</v>
      </c>
      <c r="F42" t="s">
        <v>220</v>
      </c>
      <c r="G42" s="73">
        <f>IFERROR(G35*G36*IF(G37="Monthly",G38/12,IF(G37="Fortnightly",G38/(365/14),G38/(365/28)))/(G38-G40),"")</f>
        <v>38.35616438356164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43209</v>
      </c>
      <c r="C43" s="27">
        <f>IF(B43&lt;&gt;"",IF(COUNT($A$33:A43)&lt;=$G$39,0,$G$41)+IF(COUNT($A$33:A43)&lt;=$G$40,0,$G$42),0)</f>
        <v>316.1339421613394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43223</v>
      </c>
      <c r="C44" s="27">
        <f>IF(B44&lt;&gt;"",IF(COUNT($A$33:A44)&lt;=$G$39,0,$G$41)+IF(COUNT($A$33:A44)&lt;=$G$40,0,$G$42),0)</f>
        <v>316.1339421613394</v>
      </c>
      <c r="D44" s="170">
        <f>IFERROR(DATE(YEAR(B44),MONTH(B44),1)," ")</f>
        <v>43221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43237</v>
      </c>
      <c r="C45" s="27">
        <f>IF(B45&lt;&gt;"",IF(COUNT($A$33:A45)&lt;=$G$39,0,$G$41)+IF(COUNT($A$33:A45)&lt;=$G$40,0,$G$42),0)</f>
        <v>316.1339421613394</v>
      </c>
      <c r="D45" s="170">
        <f>IFERROR(DATE(YEAR(B45),MONTH(B45),1)," ")</f>
        <v>43221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43251</v>
      </c>
      <c r="C46" s="27">
        <f>IF(B46&lt;&gt;"",IF(COUNT($A$33:A46)&lt;=$G$39,0,$G$41)+IF(COUNT($A$33:A46)&lt;=$G$40,0,$G$42),0)</f>
        <v>316.1339421613394</v>
      </c>
      <c r="D46" s="170">
        <f>IFERROR(DATE(YEAR(B46),MONTH(B46),1)," ")</f>
        <v>43221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43265</v>
      </c>
      <c r="C47" s="27">
        <f>IF(B47&lt;&gt;"",IF(COUNT($A$33:A47)&lt;=$G$39,0,$G$41)+IF(COUNT($A$33:A47)&lt;=$G$40,0,$G$42),0)</f>
        <v>316.1339421613394</v>
      </c>
      <c r="D47" s="170">
        <f>IFERROR(DATE(YEAR(B47),MONTH(B47),1)," ")</f>
        <v>43252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43279</v>
      </c>
      <c r="C48" s="27">
        <f>IF(B48&lt;&gt;"",IF(COUNT($A$33:A48)&lt;=$G$39,0,$G$41)+IF(COUNT($A$33:A48)&lt;=$G$40,0,$G$42),0)</f>
        <v>316.1339421613394</v>
      </c>
      <c r="D48" s="170">
        <f>IFERROR(DATE(YEAR(B48),MONTH(B48),1)," ")</f>
        <v>43252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43293</v>
      </c>
      <c r="C49" s="27">
        <f>IF(B49&lt;&gt;"",IF(COUNT($A$33:A49)&lt;=$G$39,0,$G$41)+IF(COUNT($A$33:A49)&lt;=$G$40,0,$G$42),0)</f>
        <v>316.1339421613394</v>
      </c>
      <c r="D49" s="170">
        <f>IFERROR(DATE(YEAR(B49),MONTH(B49),1)," ")</f>
        <v>43282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43307</v>
      </c>
      <c r="C50" s="27">
        <f>IF(B50&lt;&gt;"",IF(COUNT($A$33:A50)&lt;=$G$39,0,$G$41)+IF(COUNT($A$33:A50)&lt;=$G$40,0,$G$42),0)</f>
        <v>316.1339421613394</v>
      </c>
      <c r="D50" s="170">
        <f>IFERROR(DATE(YEAR(B50),MONTH(B50),1)," ")</f>
        <v>43282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288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97</v>
      </c>
      <c r="B41" s="191" t="s">
        <v>305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308</v>
      </c>
      <c r="I52" s="12" t="s">
        <v>128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337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217</v>
      </c>
      <c r="J76" s="11" t="s">
        <v>342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343</v>
      </c>
      <c r="E77" s="12" t="s">
        <v>305</v>
      </c>
      <c r="F77" s="12" t="s">
        <v>305</v>
      </c>
      <c r="G77" s="12" t="s">
        <v>344</v>
      </c>
      <c r="H77" s="12" t="s">
        <v>308</v>
      </c>
      <c r="I77" s="12" t="s">
        <v>345</v>
      </c>
      <c r="J77" s="136" t="s">
        <v>346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95</v>
      </c>
      <c r="D78" s="133"/>
      <c r="E78" s="12" t="s">
        <v>347</v>
      </c>
      <c r="F78" s="12" t="s">
        <v>348</v>
      </c>
      <c r="G78" s="12" t="s">
        <v>110</v>
      </c>
      <c r="H78" s="12" t="s">
        <v>128</v>
      </c>
      <c r="I78" s="12" t="s">
        <v>158</v>
      </c>
      <c r="J78" s="70" t="s">
        <v>349</v>
      </c>
      <c r="K78" s="12" t="s">
        <v>305</v>
      </c>
      <c r="AJ78" s="12"/>
    </row>
    <row r="79" spans="1:36">
      <c r="B79" s="176">
        <v>10</v>
      </c>
      <c r="C79" s="12" t="s">
        <v>350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337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91</v>
      </c>
      <c r="F80" s="12" t="s">
        <v>93</v>
      </c>
      <c r="J80" s="70" t="s">
        <v>356</v>
      </c>
      <c r="K80" s="12" t="s">
        <v>92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122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