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<sst xmlns="http://schemas.openxmlformats.org/spreadsheetml/2006/main" uniqueCount="371">
  <si>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</si>
  <si>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</si>
  <si>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</si>
  <si>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</si>
  <si>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</si>
  <si>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</si>
  <si>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</si>
  <si>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</si>
  <si>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</si>
  <si>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</si>
  <si>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</si>
  <si>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</si>
  <si>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</si>
  <si>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</si>
  <si>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</si>
  <si>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</si>
  <si>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</si>
  <si>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</si>
  <si>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</si>
  <si>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</si>
  <si>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</si>
  <si>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</si>
  <si>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</si>
  <si>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</si>
  <si>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</si>
  <si>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</si>
  <si>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</si>
  <si>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</si>
  <si>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</si>
  <si>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</si>
  <si>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</si>
  <si>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</si>
  <si>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</si>
  <si>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</si>
  <si>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</si>
  <si>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</si>
  <si>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</si>
  <si>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</si>
  <si>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</si>
  <si>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</si>
  <si>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</si>
  <si>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</si>
  <si>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</si>
  <si>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</si>
  <si>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</si>
  <si>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</si>
  <si>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</si>
  <si>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</si>
  <si>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</si>
  <si>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</si>
  <si>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</si>
  <si>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</si>
  <si>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</si>
  <si>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</si>
  <si>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</si>
  <si>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</si>
  <si>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</si>
  <si>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</si>
  <si>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</si>
  <si>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</si>
  <si>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</si>
  <si>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</si>
  <si>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</si>
  <si>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</si>
  <si>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</si>
  <si>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</si>
  <si>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</si>
  <si>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</si>
  <si>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</si>
  <si>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</si>
  <si>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</si>
  <si>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</si>
  <si>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</si>
  <si>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</si>
  <si>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</si>
  <si>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</si>
  <si>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</si>
  <si>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</si>
  <si>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</si>
  <si>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</si>
  <si>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</si>
  <si>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</si>
  <si>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</si>
  <si>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</si>
  <si>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</si>
  <si>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</si>
  <si>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</si>
  <si>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</si>
  <si>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</si>
  <si>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</si>
  <si>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</si>
  <si>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</si>
  <si>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</si>
  <si>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</si>
  <si>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</si>
  <si>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Carrots</t>
  </si>
  <si>
    <t>Home recycled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</si>
  <si>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</si>
  <si>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</si>
  <si>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</si>
  <si>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</si>
  <si>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</si>
  <si>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</si>
  <si>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</si>
  <si>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</si>
  <si>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</si>
  <si>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</si>
  <si>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</si>
  <si>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</si>
  <si>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</si>
  <si>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</si>
  <si>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</si>
  <si>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</si>
  <si>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</si>
  <si>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</si>
  <si>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</si>
  <si>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</si>
  <si>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</si>
  <si>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</si>
  <si>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</si>
  <si>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</si>
  <si>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</si>
  <si>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</si>
  <si>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</si>
  <si>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</si>
  <si>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</si>
  <si>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</si>
  <si>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</si>
  <si>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</si>
  <si>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</si>
  <si>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</si>
  <si>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</si>
  <si>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</si>
  <si>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</si>
  <si>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</si>
  <si>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</si>
  <si>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</si>
  <si>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</si>
  <si>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</si>
  <si>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</si>
  <si>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</si>
  <si>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</si>
  <si>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</si>
  <si>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</si>
  <si>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</si>
  <si>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6/20/2016</t>
  </si>
  <si>
    <t xml:space="preserve">Mshwari </t>
  </si>
  <si>
    <t xml:space="preserve">Ignorance </t>
  </si>
  <si>
    <t>8/22/2016</t>
  </si>
  <si>
    <t>3/3/2017</t>
  </si>
  <si>
    <t xml:space="preserve">No arrears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</si>
  <si>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</si>
  <si>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</si>
  <si>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</si>
  <si>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</si>
  <si>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</si>
  <si>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</si>
  <si>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</si>
  <si>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</si>
  <si>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</si>
  <si>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</si>
  <si>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</si>
  <si>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</si>
  <si>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2017/11/24</t>
  </si>
  <si>
    <t>Loan terms</t>
  </si>
  <si>
    <t>Expected disbursement date</t>
  </si>
  <si>
    <t>Expected first repayment date</t>
  </si>
  <si>
    <t>2017/12/24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</si>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</sst>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0.2549502508350954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0.02509896091044038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385387.7720693999</v>
      </c>
    </row>
    <row r="18" spans="1:7">
      <c r="B18" s="1" t="s">
        <v>12</v>
      </c>
      <c r="C18" s="36">
        <f>MIN(Output!B6:M6)</f>
        <v>-37317.70955941112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161896.8439647845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</v>
      </c>
    </row>
    <row r="25" spans="1:7">
      <c r="B25" s="1" t="s">
        <v>18</v>
      </c>
      <c r="C25" s="36">
        <f>MAX(Inputs!A56:A60)</f>
        <v>800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-14707.70955941111</v>
      </c>
      <c r="C6" s="51">
        <f>C30-C88</f>
        <v>-37317.70955941112</v>
      </c>
      <c r="D6" s="51">
        <f>D30-D88</f>
        <v>-18317.70955941111</v>
      </c>
      <c r="E6" s="51">
        <f>E30-E88</f>
        <v>161896.8439647845</v>
      </c>
      <c r="F6" s="51">
        <f>F30-F88</f>
        <v>-13985.70955941111</v>
      </c>
      <c r="G6" s="51">
        <f>G30-G88</f>
        <v>115125.8803075599</v>
      </c>
      <c r="H6" s="51">
        <f>H30-H88</f>
        <v>-14707.70955941111</v>
      </c>
      <c r="I6" s="51">
        <f>I30-I88</f>
        <v>-37317.70955941112</v>
      </c>
      <c r="J6" s="51">
        <f>J30-J88</f>
        <v>-18317.70955941111</v>
      </c>
      <c r="K6" s="51">
        <f>K30-K88</f>
        <v>161896.8439647845</v>
      </c>
      <c r="L6" s="51">
        <f>L30-L88</f>
        <v>-13985.70955941111</v>
      </c>
      <c r="M6" s="51">
        <f>M30-M88</f>
        <v>115125.8803075599</v>
      </c>
      <c r="N6" s="51">
        <f>N30-N88</f>
        <v>-14707.70955941111</v>
      </c>
      <c r="O6" s="51">
        <f>O30-O88</f>
        <v>-37317.70955941112</v>
      </c>
      <c r="P6" s="51">
        <f>P30-P88</f>
        <v>-18317.70955941111</v>
      </c>
      <c r="Q6" s="51">
        <f>Q30-Q88</f>
        <v>161896.8439647845</v>
      </c>
      <c r="R6" s="51">
        <f>R30-R88</f>
        <v>-13985.70955941111</v>
      </c>
      <c r="S6" s="51">
        <f>S30-S88</f>
        <v>115125.8803075599</v>
      </c>
      <c r="T6" s="51">
        <f>T30-T88</f>
        <v>-14707.70955941111</v>
      </c>
      <c r="U6" s="51">
        <f>U30-U88</f>
        <v>-37317.70955941112</v>
      </c>
      <c r="V6" s="51">
        <f>V30-V88</f>
        <v>-18317.70955941111</v>
      </c>
      <c r="W6" s="51">
        <f>W30-W88</f>
        <v>161896.8439647845</v>
      </c>
      <c r="X6" s="51">
        <f>X30-X88</f>
        <v>-13985.70955941111</v>
      </c>
      <c r="Y6" s="51">
        <f>Y30-Y88</f>
        <v>115125.8803075599</v>
      </c>
      <c r="Z6" s="51">
        <f>SUMIF($B$13:$Y$13,"Yes",B6:Y6)</f>
        <v>370680.0625099888</v>
      </c>
      <c r="AA6" s="51">
        <f>AA30-AA88</f>
        <v>385387.7720693998</v>
      </c>
      <c r="AB6" s="51">
        <f>AB30-AB88</f>
        <v>770775.5441387997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22248</v>
      </c>
      <c r="J7" s="80">
        <f>IF(ISERROR(VLOOKUP(MONTH(J5),Inputs!$D$66:$D$71,1,0)),"",INDEX(Inputs!$B$66:$B$71,MATCH(MONTH(Output!J5),Inputs!$D$66:$D$71,0))-INDEX(Inputs!$C$66:$C$71,MATCH(MONTH(Output!J5),Inputs!$D$66:$D$71,0)))</f>
        <v>2270</v>
      </c>
      <c r="K7" s="80">
        <f>IF(ISERROR(VLOOKUP(MONTH(K5),Inputs!$D$66:$D$71,1,0)),"",INDEX(Inputs!$B$66:$B$71,MATCH(MONTH(Output!K5),Inputs!$D$66:$D$71,0))-INDEX(Inputs!$C$66:$C$71,MATCH(MONTH(Output!K5),Inputs!$D$66:$D$71,0)))</f>
        <v>1477</v>
      </c>
      <c r="L7" s="80">
        <f>IF(ISERROR(VLOOKUP(MONTH(L5),Inputs!$D$66:$D$71,1,0)),"",INDEX(Inputs!$B$66:$B$71,MATCH(MONTH(Output!L5),Inputs!$D$66:$D$71,0))-INDEX(Inputs!$C$66:$C$71,MATCH(MONTH(Output!L5),Inputs!$D$66:$D$71,0)))</f>
        <v>247</v>
      </c>
      <c r="M7" s="80">
        <f>IF(ISERROR(VLOOKUP(MONTH(M5),Inputs!$D$66:$D$71,1,0)),"",INDEX(Inputs!$B$66:$B$71,MATCH(MONTH(Output!M5),Inputs!$D$66:$D$71,0))-INDEX(Inputs!$C$66:$C$71,MATCH(MONTH(Output!M5),Inputs!$D$66:$D$71,0)))</f>
        <v>1240</v>
      </c>
      <c r="N7" s="80">
        <f>IF(ISERROR(VLOOKUP(MONTH(N5),Inputs!$D$66:$D$71,1,0)),"",INDEX(Inputs!$B$66:$B$71,MATCH(MONTH(Output!N5),Inputs!$D$66:$D$71,0))-INDEX(Inputs!$C$66:$C$71,MATCH(MONTH(Output!N5),Inputs!$D$66:$D$71,0)))</f>
        <v>500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22248</v>
      </c>
      <c r="V7" s="80">
        <f>IF(ISERROR(VLOOKUP(MONTH(V5),Inputs!$D$66:$D$71,1,0)),"",INDEX(Inputs!$B$66:$B$71,MATCH(MONTH(Output!V5),Inputs!$D$66:$D$71,0))-INDEX(Inputs!$C$66:$C$71,MATCH(MONTH(Output!V5),Inputs!$D$66:$D$71,0)))</f>
        <v>2270</v>
      </c>
      <c r="W7" s="80">
        <f>IF(ISERROR(VLOOKUP(MONTH(W5),Inputs!$D$66:$D$71,1,0)),"",INDEX(Inputs!$B$66:$B$71,MATCH(MONTH(Output!W5),Inputs!$D$66:$D$71,0))-INDEX(Inputs!$C$66:$C$71,MATCH(MONTH(Output!W5),Inputs!$D$66:$D$71,0)))</f>
        <v>1477</v>
      </c>
      <c r="X7" s="80">
        <f>IF(ISERROR(VLOOKUP(MONTH(X5),Inputs!$D$66:$D$71,1,0)),"",INDEX(Inputs!$B$66:$B$71,MATCH(MONTH(Output!X5),Inputs!$D$66:$D$71,0))-INDEX(Inputs!$C$66:$C$71,MATCH(MONTH(Output!X5),Inputs!$D$66:$D$71,0)))</f>
        <v>247</v>
      </c>
      <c r="Y7" s="80">
        <f>IF(ISERROR(VLOOKUP(MONTH(Y5),Inputs!$D$66:$D$71,1,0)),"",INDEX(Inputs!$B$66:$B$71,MATCH(MONTH(Output!Y5),Inputs!$D$66:$D$71,0))-INDEX(Inputs!$C$66:$C$71,MATCH(MONTH(Output!Y5),Inputs!$D$66:$D$71,0)))</f>
        <v>1240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85292.29044058888</v>
      </c>
      <c r="C11" s="80">
        <f>C6+C9-C10</f>
        <v>-47317.70955941112</v>
      </c>
      <c r="D11" s="80">
        <f>D6+D9-D10</f>
        <v>-28317.70955941111</v>
      </c>
      <c r="E11" s="80">
        <f>E6+E9-E10</f>
        <v>151896.8439647845</v>
      </c>
      <c r="F11" s="80">
        <f>F6+F9-F10</f>
        <v>-23985.70955941111</v>
      </c>
      <c r="G11" s="80">
        <f>G6+G9-G10</f>
        <v>105125.8803075599</v>
      </c>
      <c r="H11" s="80">
        <f>H6+H9-H10</f>
        <v>-24707.70955941111</v>
      </c>
      <c r="I11" s="80">
        <f>I6+I9-I10</f>
        <v>-47317.70955941112</v>
      </c>
      <c r="J11" s="80">
        <f>J6+J9-J10</f>
        <v>-28317.70955941111</v>
      </c>
      <c r="K11" s="80">
        <f>K6+K9-K10</f>
        <v>151896.8439647845</v>
      </c>
      <c r="L11" s="80">
        <f>L6+L9-L10</f>
        <v>-23985.70955941111</v>
      </c>
      <c r="M11" s="80">
        <f>M6+M9-M10</f>
        <v>105125.8803075599</v>
      </c>
      <c r="N11" s="80">
        <f>N6+N9-N10</f>
        <v>-24707.70955941111</v>
      </c>
      <c r="O11" s="80">
        <f>O6+O9-O10</f>
        <v>-37317.70955941112</v>
      </c>
      <c r="P11" s="80">
        <f>P6+P9-P10</f>
        <v>-18317.70955941111</v>
      </c>
      <c r="Q11" s="80">
        <f>Q6+Q9-Q10</f>
        <v>161896.8439647845</v>
      </c>
      <c r="R11" s="80">
        <f>R6+R9-R10</f>
        <v>-13985.70955941111</v>
      </c>
      <c r="S11" s="80">
        <f>S6+S9-S10</f>
        <v>115125.8803075599</v>
      </c>
      <c r="T11" s="80">
        <f>T6+T9-T10</f>
        <v>-14707.70955941111</v>
      </c>
      <c r="U11" s="80">
        <f>U6+U9-U10</f>
        <v>-37317.70955941112</v>
      </c>
      <c r="V11" s="80">
        <f>V6+V9-V10</f>
        <v>-18317.70955941111</v>
      </c>
      <c r="W11" s="80">
        <f>W6+W9-W10</f>
        <v>161896.8439647845</v>
      </c>
      <c r="X11" s="80">
        <f>X6+X9-X10</f>
        <v>-13985.70955941111</v>
      </c>
      <c r="Y11" s="80">
        <f>Y6+Y9-Y10</f>
        <v>115125.8803075599</v>
      </c>
      <c r="Z11" s="85">
        <f>SUMIF($B$13:$Y$13,"Yes",B11:Y11)</f>
        <v>350680.0625099888</v>
      </c>
      <c r="AA11" s="80">
        <f>SUM(B11:M11)</f>
        <v>375387.7720693999</v>
      </c>
      <c r="AB11" s="46">
        <f>SUM(B11:Y11)</f>
        <v>750775.5441387999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0.2084437178256491</v>
      </c>
      <c r="D12" s="82">
        <f>IF(D13="Yes",IF(SUM($B$10:D10)/(SUM($B$6:D6)+SUM($B$9:D9))&lt;0,999.99,SUM($B$10:D10)/(SUM($B$6:D6)+SUM($B$9:D9))),"")</f>
        <v>0.6743799702607539</v>
      </c>
      <c r="E12" s="82">
        <f>IF(E13="Yes",IF(SUM($B$10:E10)/(SUM($B$6:E6)+SUM($B$9:E9))&lt;0,999.99,SUM($B$10:E10)/(SUM($B$6:E6)+SUM($B$9:E9))),"")</f>
        <v>0.1566140335890748</v>
      </c>
      <c r="F12" s="82">
        <f>IF(F13="Yes",IF(SUM($B$10:F10)/(SUM($B$6:F6)+SUM($B$9:F9))&lt;0,999.99,SUM($B$10:F10)/(SUM($B$6:F6)+SUM($B$9:F9))),"")</f>
        <v>0.225265806394571</v>
      </c>
      <c r="G12" s="82">
        <f>IF(G13="Yes",IF(SUM($B$10:G10)/(SUM($B$6:G6)+SUM($B$9:G9))&lt;0,999.99,SUM($B$10:G10)/(SUM($B$6:G6)+SUM($B$9:G9))),"")</f>
        <v>0.1708269368977264</v>
      </c>
      <c r="H12" s="82">
        <f>IF(H13="Yes",IF(SUM($B$10:H10)/(SUM($B$6:H6)+SUM($B$9:H9))&lt;0,999.99,SUM($B$10:H10)/(SUM($B$6:H6)+SUM($B$9:H9))),"")</f>
        <v>0.2158380706579257</v>
      </c>
      <c r="I12" s="82">
        <f>IF(I13="Yes",IF(SUM($B$10:I10)/(SUM($B$6:I6)+SUM($B$9:I9))&lt;0,999.99,SUM($B$10:I10)/(SUM($B$6:I6)+SUM($B$9:I9))),"")</f>
        <v>0.2908565500791905</v>
      </c>
      <c r="J12" s="82">
        <f>IF(J13="Yes",IF(SUM($B$10:J10)/(SUM($B$6:J6)+SUM($B$9:J9))&lt;0,999.99,SUM($B$10:J10)/(SUM($B$6:J6)+SUM($B$9:J9))),"")</f>
        <v>0.3597918934530374</v>
      </c>
      <c r="K12" s="82">
        <f>IF(K13="Yes",IF(SUM($B$10:K10)/(SUM($B$6:K6)+SUM($B$9:K9))&lt;0,999.99,SUM($B$10:K10)/(SUM($B$6:K6)+SUM($B$9:K9))),"")</f>
        <v>0.2342239735278277</v>
      </c>
      <c r="L12" s="82">
        <f>IF(L13="Yes",IF(SUM($B$10:L10)/(SUM($B$6:L6)+SUM($B$9:L9))&lt;0,999.99,SUM($B$10:L10)/(SUM($B$6:L6)+SUM($B$9:L9))),"")</f>
        <v>0.2700791040745885</v>
      </c>
      <c r="M12" s="82">
        <f>IF(M13="Yes",IF(SUM($B$10:M10)/(SUM($B$6:M6)+SUM($B$9:M9))&lt;0,999.99,SUM($B$10:M10)/(SUM($B$6:M6)+SUM($B$9:M9))),"")</f>
        <v>0.2266229318695577</v>
      </c>
      <c r="N12" s="82">
        <f>IF(N13="Yes",IF(SUM($B$10:N10)/(SUM($B$6:N6)+SUM($B$9:N9))&lt;0,999.99,SUM($B$10:N10)/(SUM($B$6:N6)+SUM($B$9:N9))),"")</f>
        <v>0.2549502508350954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182114.5535241956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182114.5535241956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182114.5535241956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182114.5535241956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181443.589866971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181443.589866971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181443.589866971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181443.589866971</v>
      </c>
      <c r="Z19" s="36">
        <f>SUMIF($B$13:$Y$13,"Yes",B19:Y19)</f>
        <v>362887.1797339421</v>
      </c>
      <c r="AA19" s="36">
        <f>SUM(B19:M19)</f>
        <v>362887.1797339421</v>
      </c>
      <c r="AB19" s="36">
        <f>SUM(B19:Y19)</f>
        <v>725774.3594678842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6388.88888888889</v>
      </c>
      <c r="C24" s="36">
        <f>IFERROR(Calculations!$P14/12,"")</f>
        <v>6388.88888888889</v>
      </c>
      <c r="D24" s="36">
        <f>IFERROR(Calculations!$P14/12,"")</f>
        <v>6388.88888888889</v>
      </c>
      <c r="E24" s="36">
        <f>IFERROR(Calculations!$P14/12,"")</f>
        <v>6388.88888888889</v>
      </c>
      <c r="F24" s="36">
        <f>IFERROR(Calculations!$P14/12,"")</f>
        <v>6388.88888888889</v>
      </c>
      <c r="G24" s="36">
        <f>IFERROR(Calculations!$P14/12,"")</f>
        <v>6388.88888888889</v>
      </c>
      <c r="H24" s="36">
        <f>IFERROR(Calculations!$P14/12,"")</f>
        <v>6388.88888888889</v>
      </c>
      <c r="I24" s="36">
        <f>IFERROR(Calculations!$P14/12,"")</f>
        <v>6388.88888888889</v>
      </c>
      <c r="J24" s="36">
        <f>IFERROR(Calculations!$P14/12,"")</f>
        <v>6388.88888888889</v>
      </c>
      <c r="K24" s="36">
        <f>IFERROR(Calculations!$P14/12,"")</f>
        <v>6388.88888888889</v>
      </c>
      <c r="L24" s="36">
        <f>IFERROR(Calculations!$P14/12,"")</f>
        <v>6388.88888888889</v>
      </c>
      <c r="M24" s="36">
        <f>IFERROR(Calculations!$P14/12,"")</f>
        <v>6388.88888888889</v>
      </c>
      <c r="N24" s="36">
        <f>IFERROR(Calculations!$P14/12,"")</f>
        <v>6388.88888888889</v>
      </c>
      <c r="O24" s="36">
        <f>IFERROR(Calculations!$P14/12,"")</f>
        <v>6388.88888888889</v>
      </c>
      <c r="P24" s="36">
        <f>IFERROR(Calculations!$P14/12,"")</f>
        <v>6388.88888888889</v>
      </c>
      <c r="Q24" s="36">
        <f>IFERROR(Calculations!$P14/12,"")</f>
        <v>6388.88888888889</v>
      </c>
      <c r="R24" s="36">
        <f>IFERROR(Calculations!$P14/12,"")</f>
        <v>6388.88888888889</v>
      </c>
      <c r="S24" s="36">
        <f>IFERROR(Calculations!$P14/12,"")</f>
        <v>6388.88888888889</v>
      </c>
      <c r="T24" s="36">
        <f>IFERROR(Calculations!$P14/12,"")</f>
        <v>6388.88888888889</v>
      </c>
      <c r="U24" s="36">
        <f>IFERROR(Calculations!$P14/12,"")</f>
        <v>6388.88888888889</v>
      </c>
      <c r="V24" s="36">
        <f>IFERROR(Calculations!$P14/12,"")</f>
        <v>6388.88888888889</v>
      </c>
      <c r="W24" s="36">
        <f>IFERROR(Calculations!$P14/12,"")</f>
        <v>6388.88888888889</v>
      </c>
      <c r="X24" s="36">
        <f>IFERROR(Calculations!$P14/12,"")</f>
        <v>6388.88888888889</v>
      </c>
      <c r="Y24" s="36">
        <f>IFERROR(Calculations!$P14/12,"")</f>
        <v>6388.88888888889</v>
      </c>
      <c r="Z24" s="36">
        <f>SUMIF($B$13:$Y$13,"Yes",B24:Y24)</f>
        <v>83055.55555555556</v>
      </c>
      <c r="AA24" s="36">
        <f>SUM(B24:M24)</f>
        <v>76666.66666666667</v>
      </c>
      <c r="AB24" s="46">
        <f>SUM(B24:Y24)</f>
        <v>153333.3333333333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7812.5</v>
      </c>
      <c r="C25" s="36">
        <f>IFERROR(Calculations!$P15/12,"")</f>
        <v>7812.5</v>
      </c>
      <c r="D25" s="36">
        <f>IFERROR(Calculations!$P15/12,"")</f>
        <v>7812.5</v>
      </c>
      <c r="E25" s="36">
        <f>IFERROR(Calculations!$P15/12,"")</f>
        <v>7812.5</v>
      </c>
      <c r="F25" s="36">
        <f>IFERROR(Calculations!$P15/12,"")</f>
        <v>7812.5</v>
      </c>
      <c r="G25" s="36">
        <f>IFERROR(Calculations!$P15/12,"")</f>
        <v>7812.5</v>
      </c>
      <c r="H25" s="36">
        <f>IFERROR(Calculations!$P15/12,"")</f>
        <v>7812.5</v>
      </c>
      <c r="I25" s="36">
        <f>IFERROR(Calculations!$P15/12,"")</f>
        <v>7812.5</v>
      </c>
      <c r="J25" s="36">
        <f>IFERROR(Calculations!$P15/12,"")</f>
        <v>7812.5</v>
      </c>
      <c r="K25" s="36">
        <f>IFERROR(Calculations!$P15/12,"")</f>
        <v>7812.5</v>
      </c>
      <c r="L25" s="36">
        <f>IFERROR(Calculations!$P15/12,"")</f>
        <v>7812.5</v>
      </c>
      <c r="M25" s="36">
        <f>IFERROR(Calculations!$P15/12,"")</f>
        <v>7812.5</v>
      </c>
      <c r="N25" s="36">
        <f>IFERROR(Calculations!$P15/12,"")</f>
        <v>7812.5</v>
      </c>
      <c r="O25" s="36">
        <f>IFERROR(Calculations!$P15/12,"")</f>
        <v>7812.5</v>
      </c>
      <c r="P25" s="36">
        <f>IFERROR(Calculations!$P15/12,"")</f>
        <v>7812.5</v>
      </c>
      <c r="Q25" s="36">
        <f>IFERROR(Calculations!$P15/12,"")</f>
        <v>7812.5</v>
      </c>
      <c r="R25" s="36">
        <f>IFERROR(Calculations!$P15/12,"")</f>
        <v>7812.5</v>
      </c>
      <c r="S25" s="36">
        <f>IFERROR(Calculations!$P15/12,"")</f>
        <v>7812.5</v>
      </c>
      <c r="T25" s="36">
        <f>IFERROR(Calculations!$P15/12,"")</f>
        <v>7812.5</v>
      </c>
      <c r="U25" s="36">
        <f>IFERROR(Calculations!$P15/12,"")</f>
        <v>7812.5</v>
      </c>
      <c r="V25" s="36">
        <f>IFERROR(Calculations!$P15/12,"")</f>
        <v>7812.5</v>
      </c>
      <c r="W25" s="36">
        <f>IFERROR(Calculations!$P15/12,"")</f>
        <v>7812.5</v>
      </c>
      <c r="X25" s="36">
        <f>IFERROR(Calculations!$P15/12,"")</f>
        <v>7812.5</v>
      </c>
      <c r="Y25" s="36">
        <f>IFERROR(Calculations!$P15/12,"")</f>
        <v>7812.5</v>
      </c>
      <c r="Z25" s="36">
        <f>SUMIF($B$13:$Y$13,"Yes",B25:Y25)</f>
        <v>101562.5</v>
      </c>
      <c r="AA25" s="36">
        <f>SUM(B25:M25)</f>
        <v>93750</v>
      </c>
      <c r="AB25" s="46">
        <f>SUM(B25:Y25)</f>
        <v>187500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14201.38888888889</v>
      </c>
      <c r="C30" s="19">
        <f>SUM(C18:C29)</f>
        <v>14201.38888888889</v>
      </c>
      <c r="D30" s="19">
        <f>SUM(D18:D29)</f>
        <v>14201.38888888889</v>
      </c>
      <c r="E30" s="19">
        <f>SUM(E18:E29)</f>
        <v>196315.9424130845</v>
      </c>
      <c r="F30" s="19">
        <f>SUM(F18:F29)</f>
        <v>14201.38888888889</v>
      </c>
      <c r="G30" s="19">
        <f>SUM(G18:G29)</f>
        <v>195644.9787558599</v>
      </c>
      <c r="H30" s="19">
        <f>SUM(H18:H29)</f>
        <v>14201.38888888889</v>
      </c>
      <c r="I30" s="19">
        <f>SUM(I18:I29)</f>
        <v>14201.38888888889</v>
      </c>
      <c r="J30" s="19">
        <f>SUM(J18:J29)</f>
        <v>14201.38888888889</v>
      </c>
      <c r="K30" s="19">
        <f>SUM(K18:K29)</f>
        <v>196315.9424130845</v>
      </c>
      <c r="L30" s="19">
        <f>SUM(L18:L29)</f>
        <v>14201.38888888889</v>
      </c>
      <c r="M30" s="19">
        <f>SUM(M18:M29)</f>
        <v>195644.9787558599</v>
      </c>
      <c r="N30" s="19">
        <f>SUM(N18:N29)</f>
        <v>14201.38888888889</v>
      </c>
      <c r="O30" s="19">
        <f>SUM(O18:O29)</f>
        <v>14201.38888888889</v>
      </c>
      <c r="P30" s="19">
        <f>SUM(P18:P29)</f>
        <v>14201.38888888889</v>
      </c>
      <c r="Q30" s="19">
        <f>SUM(Q18:Q29)</f>
        <v>196315.9424130845</v>
      </c>
      <c r="R30" s="19">
        <f>SUM(R18:R29)</f>
        <v>14201.38888888889</v>
      </c>
      <c r="S30" s="19">
        <f>SUM(S18:S29)</f>
        <v>195644.9787558599</v>
      </c>
      <c r="T30" s="19">
        <f>SUM(T18:T29)</f>
        <v>14201.38888888889</v>
      </c>
      <c r="U30" s="19">
        <f>SUM(U18:U29)</f>
        <v>14201.38888888889</v>
      </c>
      <c r="V30" s="19">
        <f>SUM(V18:V29)</f>
        <v>14201.38888888889</v>
      </c>
      <c r="W30" s="19">
        <f>SUM(W18:W29)</f>
        <v>196315.9424130845</v>
      </c>
      <c r="X30" s="19">
        <f>SUM(X18:X29)</f>
        <v>14201.38888888889</v>
      </c>
      <c r="Y30" s="19">
        <f>SUM(Y18:Y29)</f>
        <v>195644.9787558599</v>
      </c>
      <c r="Z30" s="19">
        <f>SUMIF($B$13:$Y$13,"Yes",B30:Y30)</f>
        <v>911734.3423378887</v>
      </c>
      <c r="AA30" s="19">
        <f>SUM(B30:M30)</f>
        <v>897532.9534489998</v>
      </c>
      <c r="AB30" s="19">
        <f>SUM(B30:Y30)</f>
        <v>1795065.906898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10400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48000</v>
      </c>
      <c r="H42" s="36">
        <f>T42</f>
        <v>0</v>
      </c>
      <c r="I42" s="36">
        <f>U42</f>
        <v>10400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48000</v>
      </c>
      <c r="N42" s="36">
        <f>SUM(N43:N47)</f>
        <v>0</v>
      </c>
      <c r="O42" s="36">
        <f>SUM(O43:O47)</f>
        <v>10400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48000</v>
      </c>
      <c r="T42" s="36">
        <f>SUM(T43:T47)</f>
        <v>0</v>
      </c>
      <c r="U42" s="36">
        <f>SUM(U43:U47)</f>
        <v>10400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48000</v>
      </c>
      <c r="Z42" s="36">
        <f>SUMIF($B$13:$Y$13,"Yes",B42:Y42)</f>
        <v>116800</v>
      </c>
      <c r="AA42" s="36">
        <f>SUM(B42:M42)</f>
        <v>116800</v>
      </c>
      <c r="AB42" s="36">
        <f>SUM(B42:Y42)</f>
        <v>233600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48000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48000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48000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48000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10400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10400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10400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10400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20800</v>
      </c>
      <c r="AA44" s="36">
        <f>SUM(B44:M44)</f>
        <v>20800</v>
      </c>
      <c r="AB44" s="36">
        <f>SUM(B44:Y44)</f>
        <v>41600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8600</v>
      </c>
      <c r="D48" s="36">
        <f>P48</f>
        <v>0</v>
      </c>
      <c r="E48" s="36">
        <f>Q48</f>
        <v>1900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8600</v>
      </c>
      <c r="J48" s="36">
        <f>V48</f>
        <v>0</v>
      </c>
      <c r="K48" s="36">
        <f>W48</f>
        <v>1900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8600</v>
      </c>
      <c r="P48" s="46">
        <f>SUM(P49:P53)</f>
        <v>0</v>
      </c>
      <c r="Q48" s="46">
        <f>SUM(Q49:Q53)</f>
        <v>1900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8600</v>
      </c>
      <c r="V48" s="46">
        <f>SUM(V49:V53)</f>
        <v>0</v>
      </c>
      <c r="W48" s="46">
        <f>SUM(W49:W53)</f>
        <v>1900</v>
      </c>
      <c r="X48" s="46">
        <f>SUM(X49:X53)</f>
        <v>0</v>
      </c>
      <c r="Y48" s="46">
        <f>SUM(Y49:Y53)</f>
        <v>0</v>
      </c>
      <c r="Z48" s="46">
        <f>SUMIF($B$13:$Y$13,"Yes",B48:Y48)</f>
        <v>21000</v>
      </c>
      <c r="AA48" s="46">
        <f>SUM(B48:M48)</f>
        <v>21000</v>
      </c>
      <c r="AB48" s="46">
        <f>SUM(B48:Y48)</f>
        <v>42000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8600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8600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8600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8600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1900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1900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1900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1900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3800</v>
      </c>
      <c r="AA50" s="46">
        <f>SUM(B50:M50)</f>
        <v>3800</v>
      </c>
      <c r="AB50" s="46">
        <f>SUM(B50:Y50)</f>
        <v>7600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7942</v>
      </c>
      <c r="D66" s="36">
        <f>P66</f>
        <v>7942</v>
      </c>
      <c r="E66" s="36">
        <f>Q66</f>
        <v>7942</v>
      </c>
      <c r="F66" s="36">
        <f>R66</f>
        <v>3610</v>
      </c>
      <c r="G66" s="36">
        <f>S66</f>
        <v>7942</v>
      </c>
      <c r="H66" s="36">
        <f>T66</f>
        <v>4332</v>
      </c>
      <c r="I66" s="36">
        <f>U66</f>
        <v>7942</v>
      </c>
      <c r="J66" s="36">
        <f>V66</f>
        <v>7942</v>
      </c>
      <c r="K66" s="36">
        <f>W66</f>
        <v>7942</v>
      </c>
      <c r="L66" s="36">
        <f>X66</f>
        <v>3610</v>
      </c>
      <c r="M66" s="36">
        <f>Y66</f>
        <v>7942</v>
      </c>
      <c r="N66" s="46">
        <f>SUM(N67:N71)</f>
        <v>4332</v>
      </c>
      <c r="O66" s="46">
        <f>SUM(O67:O71)</f>
        <v>7942</v>
      </c>
      <c r="P66" s="46">
        <f>SUM(P67:P71)</f>
        <v>7942</v>
      </c>
      <c r="Q66" s="46">
        <f>SUM(Q67:Q71)</f>
        <v>7942</v>
      </c>
      <c r="R66" s="46">
        <f>SUM(R67:R71)</f>
        <v>3610</v>
      </c>
      <c r="S66" s="46">
        <f>SUM(S67:S71)</f>
        <v>7942</v>
      </c>
      <c r="T66" s="46">
        <f>SUM(T67:T71)</f>
        <v>4332</v>
      </c>
      <c r="U66" s="46">
        <f>SUM(U67:U71)</f>
        <v>7942</v>
      </c>
      <c r="V66" s="46">
        <f>SUM(V67:V71)</f>
        <v>7942</v>
      </c>
      <c r="W66" s="46">
        <f>SUM(W67:W71)</f>
        <v>7942</v>
      </c>
      <c r="X66" s="46">
        <f>SUM(X67:X71)</f>
        <v>3610</v>
      </c>
      <c r="Y66" s="46">
        <f>SUM(Y67:Y71)</f>
        <v>7942</v>
      </c>
      <c r="Z66" s="46">
        <f>SUMIF($B$13:$Y$13,"Yes",B66:Y66)</f>
        <v>83752</v>
      </c>
      <c r="AA66" s="46">
        <f>SUM(B66:M66)</f>
        <v>79420</v>
      </c>
      <c r="AB66" s="46">
        <f>SUM(B66:Y66)</f>
        <v>158840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4332</v>
      </c>
      <c r="E67" s="36">
        <f>Q67</f>
        <v>4332</v>
      </c>
      <c r="F67" s="36">
        <f>R67</f>
        <v>0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4332</v>
      </c>
      <c r="K67" s="36">
        <f>W67</f>
        <v>4332</v>
      </c>
      <c r="L67" s="36">
        <f>X67</f>
        <v>0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 t="str">
        <f>Calculations!$A$5</f>
        <v>Carrots</v>
      </c>
      <c r="B68" s="36">
        <f>N68</f>
        <v>0</v>
      </c>
      <c r="C68" s="36">
        <f>O68</f>
        <v>3610</v>
      </c>
      <c r="D68" s="36">
        <f>P68</f>
        <v>3610</v>
      </c>
      <c r="E68" s="36">
        <f>Q68</f>
        <v>3610</v>
      </c>
      <c r="F68" s="36">
        <f>R68</f>
        <v>3610</v>
      </c>
      <c r="G68" s="36">
        <f>S68</f>
        <v>3610</v>
      </c>
      <c r="H68" s="36">
        <f>T68</f>
        <v>0</v>
      </c>
      <c r="I68" s="36">
        <f>U68</f>
        <v>3610</v>
      </c>
      <c r="J68" s="36">
        <f>V68</f>
        <v>3610</v>
      </c>
      <c r="K68" s="36">
        <f>W68</f>
        <v>3610</v>
      </c>
      <c r="L68" s="36">
        <f>X68</f>
        <v>3610</v>
      </c>
      <c r="M68" s="36">
        <f>Y68</f>
        <v>3610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3610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3610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3610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3610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3610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3610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3610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3610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3610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3610</v>
      </c>
      <c r="Z68" s="46">
        <f>SUMIF($B$13:$Y$13,"Yes",B68:Y68)</f>
        <v>36100</v>
      </c>
      <c r="AA68" s="46">
        <f>SUM(B68:M68)</f>
        <v>36100</v>
      </c>
      <c r="AB68" s="46">
        <f>SUM(B68:Y68)</f>
        <v>72200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1833.333333333333</v>
      </c>
      <c r="C76" s="46">
        <f>SUM(Calculations!$S$14:$S$16)/12</f>
        <v>1833.333333333333</v>
      </c>
      <c r="D76" s="46">
        <f>SUM(Calculations!$S$14:$S$16)/12</f>
        <v>1833.333333333333</v>
      </c>
      <c r="E76" s="46">
        <f>SUM(Calculations!$S$14:$S$16)/12</f>
        <v>1833.333333333333</v>
      </c>
      <c r="F76" s="46">
        <f>SUM(Calculations!$S$14:$S$16)/12</f>
        <v>1833.333333333333</v>
      </c>
      <c r="G76" s="46">
        <f>SUM(Calculations!$S$14:$S$16)/12</f>
        <v>1833.333333333333</v>
      </c>
      <c r="H76" s="46">
        <f>SUM(Calculations!$S$14:$S$16)/12</f>
        <v>1833.333333333333</v>
      </c>
      <c r="I76" s="46">
        <f>SUM(Calculations!$S$14:$S$16)/12</f>
        <v>1833.333333333333</v>
      </c>
      <c r="J76" s="46">
        <f>SUM(Calculations!$S$14:$S$16)/12</f>
        <v>1833.333333333333</v>
      </c>
      <c r="K76" s="46">
        <f>SUM(Calculations!$S$14:$S$16)/12</f>
        <v>1833.333333333333</v>
      </c>
      <c r="L76" s="46">
        <f>SUM(Calculations!$S$14:$S$16)/12</f>
        <v>1833.333333333333</v>
      </c>
      <c r="M76" s="46">
        <f>SUM(Calculations!$S$14:$S$16)/12</f>
        <v>1833.333333333333</v>
      </c>
      <c r="N76" s="46">
        <f>SUM(Calculations!$S$14:$S$16)/12</f>
        <v>1833.333333333333</v>
      </c>
      <c r="O76" s="46">
        <f>SUM(Calculations!$S$14:$S$16)/12</f>
        <v>1833.333333333333</v>
      </c>
      <c r="P76" s="46">
        <f>SUM(Calculations!$S$14:$S$16)/12</f>
        <v>1833.333333333333</v>
      </c>
      <c r="Q76" s="46">
        <f>SUM(Calculations!$S$14:$S$16)/12</f>
        <v>1833.333333333333</v>
      </c>
      <c r="R76" s="46">
        <f>SUM(Calculations!$S$14:$S$16)/12</f>
        <v>1833.333333333333</v>
      </c>
      <c r="S76" s="46">
        <f>SUM(Calculations!$S$14:$S$16)/12</f>
        <v>1833.333333333333</v>
      </c>
      <c r="T76" s="46">
        <f>SUM(Calculations!$S$14:$S$16)/12</f>
        <v>1833.333333333333</v>
      </c>
      <c r="U76" s="46">
        <f>SUM(Calculations!$S$14:$S$16)/12</f>
        <v>1833.333333333333</v>
      </c>
      <c r="V76" s="46">
        <f>SUM(Calculations!$S$14:$S$16)/12</f>
        <v>1833.333333333333</v>
      </c>
      <c r="W76" s="46">
        <f>SUM(Calculations!$S$14:$S$16)/12</f>
        <v>1833.333333333333</v>
      </c>
      <c r="X76" s="46">
        <f>SUM(Calculations!$S$14:$S$16)/12</f>
        <v>1833.333333333333</v>
      </c>
      <c r="Y76" s="46">
        <f>SUM(Calculations!$S$14:$S$16)/12</f>
        <v>1833.333333333333</v>
      </c>
      <c r="Z76" s="46">
        <f>SUMIF($B$13:$Y$13,"Yes",B76:Y76)</f>
        <v>23833.33333333333</v>
      </c>
      <c r="AA76" s="46">
        <f>SUM(B76:M76)</f>
        <v>22000</v>
      </c>
      <c r="AB76" s="46">
        <f>SUM(B76:Y76)</f>
        <v>44000.00000000001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21410.43178163334</v>
      </c>
      <c r="C81" s="46">
        <f>(SUM($AA$18:$AA$29)-SUM($AA$36,$AA$42,$AA$48,$AA$54,$AA$60,$AA$66,$AA$72:$AA$79))*Parameters!$B$37/12</f>
        <v>21410.43178163334</v>
      </c>
      <c r="D81" s="46">
        <f>(SUM($AA$18:$AA$29)-SUM($AA$36,$AA$42,$AA$48,$AA$54,$AA$60,$AA$66,$AA$72:$AA$79))*Parameters!$B$37/12</f>
        <v>21410.43178163334</v>
      </c>
      <c r="E81" s="46">
        <f>(SUM($AA$18:$AA$29)-SUM($AA$36,$AA$42,$AA$48,$AA$54,$AA$60,$AA$66,$AA$72:$AA$79))*Parameters!$B$37/12</f>
        <v>21410.43178163334</v>
      </c>
      <c r="F81" s="46">
        <f>(SUM($AA$18:$AA$29)-SUM($AA$36,$AA$42,$AA$48,$AA$54,$AA$60,$AA$66,$AA$72:$AA$79))*Parameters!$B$37/12</f>
        <v>21410.43178163334</v>
      </c>
      <c r="G81" s="46">
        <f>(SUM($AA$18:$AA$29)-SUM($AA$36,$AA$42,$AA$48,$AA$54,$AA$60,$AA$66,$AA$72:$AA$79))*Parameters!$B$37/12</f>
        <v>21410.43178163334</v>
      </c>
      <c r="H81" s="46">
        <f>(SUM($AA$18:$AA$29)-SUM($AA$36,$AA$42,$AA$48,$AA$54,$AA$60,$AA$66,$AA$72:$AA$79))*Parameters!$B$37/12</f>
        <v>21410.43178163334</v>
      </c>
      <c r="I81" s="46">
        <f>(SUM($AA$18:$AA$29)-SUM($AA$36,$AA$42,$AA$48,$AA$54,$AA$60,$AA$66,$AA$72:$AA$79))*Parameters!$B$37/12</f>
        <v>21410.43178163334</v>
      </c>
      <c r="J81" s="46">
        <f>(SUM($AA$18:$AA$29)-SUM($AA$36,$AA$42,$AA$48,$AA$54,$AA$60,$AA$66,$AA$72:$AA$79))*Parameters!$B$37/12</f>
        <v>21410.43178163334</v>
      </c>
      <c r="K81" s="46">
        <f>(SUM($AA$18:$AA$29)-SUM($AA$36,$AA$42,$AA$48,$AA$54,$AA$60,$AA$66,$AA$72:$AA$79))*Parameters!$B$37/12</f>
        <v>21410.43178163334</v>
      </c>
      <c r="L81" s="46">
        <f>(SUM($AA$18:$AA$29)-SUM($AA$36,$AA$42,$AA$48,$AA$54,$AA$60,$AA$66,$AA$72:$AA$79))*Parameters!$B$37/12</f>
        <v>21410.43178163334</v>
      </c>
      <c r="M81" s="46">
        <f>(SUM($AA$18:$AA$29)-SUM($AA$36,$AA$42,$AA$48,$AA$54,$AA$60,$AA$66,$AA$72:$AA$79))*Parameters!$B$37/12</f>
        <v>21410.43178163334</v>
      </c>
      <c r="N81" s="46">
        <f>(SUM($AA$18:$AA$29)-SUM($AA$36,$AA$42,$AA$48,$AA$54,$AA$60,$AA$66,$AA$72:$AA$79))*Parameters!$B$37/12</f>
        <v>21410.43178163334</v>
      </c>
      <c r="O81" s="46">
        <f>(SUM($AA$18:$AA$29)-SUM($AA$36,$AA$42,$AA$48,$AA$54,$AA$60,$AA$66,$AA$72:$AA$79))*Parameters!$B$37/12</f>
        <v>21410.43178163334</v>
      </c>
      <c r="P81" s="46">
        <f>(SUM($AA$18:$AA$29)-SUM($AA$36,$AA$42,$AA$48,$AA$54,$AA$60,$AA$66,$AA$72:$AA$79))*Parameters!$B$37/12</f>
        <v>21410.43178163334</v>
      </c>
      <c r="Q81" s="46">
        <f>(SUM($AA$18:$AA$29)-SUM($AA$36,$AA$42,$AA$48,$AA$54,$AA$60,$AA$66,$AA$72:$AA$79))*Parameters!$B$37/12</f>
        <v>21410.43178163334</v>
      </c>
      <c r="R81" s="46">
        <f>(SUM($AA$18:$AA$29)-SUM($AA$36,$AA$42,$AA$48,$AA$54,$AA$60,$AA$66,$AA$72:$AA$79))*Parameters!$B$37/12</f>
        <v>21410.43178163334</v>
      </c>
      <c r="S81" s="46">
        <f>(SUM($AA$18:$AA$29)-SUM($AA$36,$AA$42,$AA$48,$AA$54,$AA$60,$AA$66,$AA$72:$AA$79))*Parameters!$B$37/12</f>
        <v>21410.43178163334</v>
      </c>
      <c r="T81" s="46">
        <f>(SUM($AA$18:$AA$29)-SUM($AA$36,$AA$42,$AA$48,$AA$54,$AA$60,$AA$66,$AA$72:$AA$79))*Parameters!$B$37/12</f>
        <v>21410.43178163334</v>
      </c>
      <c r="U81" s="46">
        <f>(SUM($AA$18:$AA$29)-SUM($AA$36,$AA$42,$AA$48,$AA$54,$AA$60,$AA$66,$AA$72:$AA$79))*Parameters!$B$37/12</f>
        <v>21410.43178163334</v>
      </c>
      <c r="V81" s="46">
        <f>(SUM($AA$18:$AA$29)-SUM($AA$36,$AA$42,$AA$48,$AA$54,$AA$60,$AA$66,$AA$72:$AA$79))*Parameters!$B$37/12</f>
        <v>21410.43178163334</v>
      </c>
      <c r="W81" s="46">
        <f>(SUM($AA$18:$AA$29)-SUM($AA$36,$AA$42,$AA$48,$AA$54,$AA$60,$AA$66,$AA$72:$AA$79))*Parameters!$B$37/12</f>
        <v>21410.43178163334</v>
      </c>
      <c r="X81" s="46">
        <f>(SUM($AA$18:$AA$29)-SUM($AA$36,$AA$42,$AA$48,$AA$54,$AA$60,$AA$66,$AA$72:$AA$79))*Parameters!$B$37/12</f>
        <v>21410.43178163334</v>
      </c>
      <c r="Y81" s="46">
        <f>(SUM($AA$18:$AA$29)-SUM($AA$36,$AA$42,$AA$48,$AA$54,$AA$60,$AA$66,$AA$72:$AA$79))*Parameters!$B$37/12</f>
        <v>21410.43178163334</v>
      </c>
      <c r="Z81" s="46">
        <f>SUMIF($B$13:$Y$13,"Yes",B81:Y81)</f>
        <v>278335.6131612334</v>
      </c>
      <c r="AA81" s="46">
        <f>SUM(B81:M81)</f>
        <v>256925.1813796001</v>
      </c>
      <c r="AB81" s="46">
        <f>SUM(B81:Y81)</f>
        <v>513850.3627592003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28909.0984483</v>
      </c>
      <c r="C88" s="19">
        <f>SUM(C72:C82,C66,C60,C54,C48,C42,C36)</f>
        <v>51519.09844830001</v>
      </c>
      <c r="D88" s="19">
        <f>SUM(D72:D82,D66,D60,D54,D48,D42,D36)</f>
        <v>32519.0984483</v>
      </c>
      <c r="E88" s="19">
        <f>SUM(E72:E82,E66,E60,E54,E48,E42,E36)</f>
        <v>34419.09844830001</v>
      </c>
      <c r="F88" s="19">
        <f>SUM(F72:F82,F66,F60,F54,F48,F42,F36)</f>
        <v>28187.0984483</v>
      </c>
      <c r="G88" s="19">
        <f>SUM(G72:G82,G66,G60,G54,G48,G42,G36)</f>
        <v>80519.09844830001</v>
      </c>
      <c r="H88" s="19">
        <f>SUM(H72:H82,H66,H60,H54,H48,H42,H36)</f>
        <v>28909.0984483</v>
      </c>
      <c r="I88" s="19">
        <f>SUM(I72:I82,I66,I60,I54,I48,I42,I36)</f>
        <v>51519.09844830001</v>
      </c>
      <c r="J88" s="19">
        <f>SUM(J72:J82,J66,J60,J54,J48,J42,J36)</f>
        <v>32519.0984483</v>
      </c>
      <c r="K88" s="19">
        <f>SUM(K72:K82,K66,K60,K54,K48,K42,K36)</f>
        <v>34419.09844830001</v>
      </c>
      <c r="L88" s="19">
        <f>SUM(L72:L82,L66,L60,L54,L48,L42,L36)</f>
        <v>28187.0984483</v>
      </c>
      <c r="M88" s="19">
        <f>SUM(M72:M82,M66,M60,M54,M48,M42,M36)</f>
        <v>80519.09844830001</v>
      </c>
      <c r="N88" s="19">
        <f>SUM(N72:N82,N66,N60,N54,N48,N42,N36)</f>
        <v>28909.0984483</v>
      </c>
      <c r="O88" s="19">
        <f>SUM(O72:O82,O66,O60,O54,O48,O42,O36)</f>
        <v>51519.09844830001</v>
      </c>
      <c r="P88" s="19">
        <f>SUM(P72:P82,P66,P60,P54,P48,P42,P36)</f>
        <v>32519.0984483</v>
      </c>
      <c r="Q88" s="19">
        <f>SUM(Q72:Q82,Q66,Q60,Q54,Q48,Q42,Q36)</f>
        <v>34419.09844830001</v>
      </c>
      <c r="R88" s="19">
        <f>SUM(R72:R82,R66,R60,R54,R48,R42,R36)</f>
        <v>28187.0984483</v>
      </c>
      <c r="S88" s="19">
        <f>SUM(S72:S82,S66,S60,S54,S48,S42,S36)</f>
        <v>80519.09844830001</v>
      </c>
      <c r="T88" s="19">
        <f>SUM(T72:T82,T66,T60,T54,T48,T42,T36)</f>
        <v>28909.0984483</v>
      </c>
      <c r="U88" s="19">
        <f>SUM(U72:U82,U66,U60,U54,U48,U42,U36)</f>
        <v>51519.09844830001</v>
      </c>
      <c r="V88" s="19">
        <f>SUM(V72:V82,V66,V60,V54,V48,V42,V36)</f>
        <v>32519.0984483</v>
      </c>
      <c r="W88" s="19">
        <f>SUM(W72:W82,W66,W60,W54,W48,W42,W36)</f>
        <v>34419.09844830001</v>
      </c>
      <c r="X88" s="19">
        <f>SUM(X72:X82,X66,X60,X54,X48,X42,X36)</f>
        <v>28187.0984483</v>
      </c>
      <c r="Y88" s="19">
        <f>SUM(Y72:Y82,Y66,Y60,Y54,Y48,Y42,Y36)</f>
        <v>80519.09844830001</v>
      </c>
      <c r="Z88" s="19">
        <f>SUMIF($B$13:$Y$13,"Yes",B88:Y88)</f>
        <v>541054.2798279</v>
      </c>
      <c r="AA88" s="19">
        <f>SUM(B88:M88)</f>
        <v>512145.1813796</v>
      </c>
      <c r="AB88" s="19">
        <f>SUM(B88:Y88)</f>
        <v>1024290.3627592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14000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4042000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1450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10</v>
      </c>
      <c r="D19" s="145"/>
      <c r="E19" s="20"/>
      <c r="F19" s="145" t="s">
        <v>93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14000</v>
      </c>
    </row>
    <row r="46" spans="1:48" customHeight="1" ht="30">
      <c r="A46" s="57" t="s">
        <v>133</v>
      </c>
      <c r="B46" s="161">
        <v>1500</v>
      </c>
    </row>
    <row r="47" spans="1:48" customHeight="1" ht="30">
      <c r="A47" s="57" t="s">
        <v>134</v>
      </c>
      <c r="B47" s="161">
        <v>500000</v>
      </c>
    </row>
    <row r="48" spans="1:48" customHeight="1" ht="30">
      <c r="A48" s="57" t="s">
        <v>135</v>
      </c>
      <c r="B48" s="161">
        <v>2000000</v>
      </c>
    </row>
    <row r="49" spans="1:48" customHeight="1" ht="30">
      <c r="A49" s="57" t="s">
        <v>136</v>
      </c>
      <c r="B49" s="161">
        <v>1500</v>
      </c>
    </row>
    <row r="50" spans="1:48">
      <c r="A50" s="43"/>
      <c r="B50" s="36"/>
    </row>
    <row r="51" spans="1:48">
      <c r="A51" s="58" t="s">
        <v>137</v>
      </c>
      <c r="B51" s="161">
        <v>1450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800</v>
      </c>
      <c r="B56" s="159">
        <v>0</v>
      </c>
      <c r="C56" s="162" t="s">
        <v>145</v>
      </c>
      <c r="D56" s="163" t="s">
        <v>146</v>
      </c>
      <c r="E56" s="163" t="s">
        <v>93</v>
      </c>
      <c r="F56" s="163" t="s">
        <v>147</v>
      </c>
    </row>
    <row r="57" spans="1:48">
      <c r="A57" s="157">
        <v>200</v>
      </c>
      <c r="B57" s="157">
        <v>0</v>
      </c>
      <c r="C57" s="164" t="s">
        <v>148</v>
      </c>
      <c r="D57" s="165" t="s">
        <v>146</v>
      </c>
      <c r="E57" s="165" t="s">
        <v>93</v>
      </c>
      <c r="F57" s="165" t="s">
        <v>147</v>
      </c>
    </row>
    <row r="58" spans="1:48">
      <c r="A58" s="157">
        <v>200</v>
      </c>
      <c r="B58" s="157">
        <v>0</v>
      </c>
      <c r="C58" s="164" t="s">
        <v>149</v>
      </c>
      <c r="D58" s="165" t="s">
        <v>146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56140</v>
      </c>
      <c r="C66" s="163">
        <v>55640</v>
      </c>
      <c r="D66" s="49">
        <f>INDEX(Parameters!$D$79:$D$90,MATCH(Inputs!A66,Parameters!$C$79:$C$90,0))</f>
        <v>11</v>
      </c>
    </row>
    <row r="67" spans="1:48">
      <c r="A67" s="143" t="s">
        <v>155</v>
      </c>
      <c r="B67" s="157">
        <v>45410</v>
      </c>
      <c r="C67" s="165">
        <v>44170</v>
      </c>
      <c r="D67" s="49">
        <f>INDEX(Parameters!$D$79:$D$90,MATCH(Inputs!A67,Parameters!$C$79:$C$90,0))</f>
        <v>10</v>
      </c>
    </row>
    <row r="68" spans="1:48">
      <c r="A68" s="143" t="s">
        <v>156</v>
      </c>
      <c r="B68" s="157">
        <v>18950</v>
      </c>
      <c r="C68" s="165">
        <v>18703</v>
      </c>
      <c r="D68" s="49">
        <f>INDEX(Parameters!$D$79:$D$90,MATCH(Inputs!A68,Parameters!$C$79:$C$90,0))</f>
        <v>9</v>
      </c>
    </row>
    <row r="69" spans="1:48">
      <c r="A69" s="143" t="s">
        <v>157</v>
      </c>
      <c r="B69" s="157">
        <v>24650</v>
      </c>
      <c r="C69" s="165">
        <v>23173</v>
      </c>
      <c r="D69" s="49">
        <f>INDEX(Parameters!$D$79:$D$90,MATCH(Inputs!A69,Parameters!$C$79:$C$90,0))</f>
        <v>8</v>
      </c>
    </row>
    <row r="70" spans="1:48">
      <c r="A70" s="143" t="s">
        <v>158</v>
      </c>
      <c r="B70" s="157">
        <v>103887</v>
      </c>
      <c r="C70" s="165">
        <v>101617</v>
      </c>
      <c r="D70" s="49">
        <f>INDEX(Parameters!$D$79:$D$90,MATCH(Inputs!A70,Parameters!$C$79:$C$90,0))</f>
        <v>7</v>
      </c>
    </row>
    <row r="71" spans="1:48">
      <c r="A71" s="144" t="s">
        <v>159</v>
      </c>
      <c r="B71" s="158">
        <v>303887</v>
      </c>
      <c r="C71" s="167">
        <v>281639</v>
      </c>
      <c r="D71" s="49">
        <f>INDEX(Parameters!$D$79:$D$90,MATCH(Inputs!A71,Parameters!$C$79:$C$90,0))</f>
        <v>6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6480.128209534681</v>
      </c>
      <c r="M5" s="30">
        <f>L5*H5</f>
        <v>6480.128209534681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362887.1797339421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10400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76666.66666666667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93750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317</v>
      </c>
      <c r="H52" s="12" t="s">
        <v>130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112</v>
      </c>
      <c r="H77" s="12" t="s">
        <v>130</v>
      </c>
      <c r="I77" s="12" t="s">
        <v>353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318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171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