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<sst xmlns="http://schemas.openxmlformats.org/spreadsheetml/2006/main" uniqueCount="371">
  <si>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</si>
  <si>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</si>
  <si>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</si>
  <si>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</si>
  <si>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</si>
  <si>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</si>
  <si>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</si>
  <si>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</si>
  <si>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</si>
  <si>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</si>
  <si>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</si>
  <si>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</si>
  <si>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</si>
  <si>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</si>
  <si>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</si>
  <si>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</si>
  <si>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</si>
  <si>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</si>
  <si>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</si>
  <si>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</si>
  <si>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</si>
  <si>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</si>
  <si>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</si>
  <si>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</si>
  <si>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</si>
  <si>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</si>
  <si>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</si>
  <si>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</si>
  <si>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</si>
  <si>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</si>
  <si>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</si>
  <si>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</si>
  <si>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</si>
  <si>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</si>
  <si>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</si>
  <si>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</si>
  <si>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</si>
  <si>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</si>
  <si>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</si>
  <si>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</si>
  <si>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</si>
  <si>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</si>
  <si>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</si>
  <si>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</si>
  <si>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</si>
  <si>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</si>
  <si>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</si>
  <si>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</si>
  <si>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</si>
  <si>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</si>
  <si>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</si>
  <si>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</si>
  <si>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</si>
  <si>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</si>
  <si>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</si>
  <si>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</si>
  <si>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</si>
  <si>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</si>
  <si>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</si>
  <si>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</si>
  <si>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</si>
  <si>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</si>
  <si>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</si>
  <si>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</si>
  <si>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</si>
  <si>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</si>
  <si>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</si>
  <si>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</si>
  <si>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</si>
  <si>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</si>
  <si>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</si>
  <si>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</si>
  <si>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</si>
  <si>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</si>
  <si>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</si>
  <si>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</si>
  <si>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</si>
  <si>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</si>
  <si>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</si>
  <si>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</si>
  <si>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</si>
  <si>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</si>
  <si>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</si>
  <si>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</si>
  <si>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</si>
  <si>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</si>
  <si>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</si>
  <si>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</si>
  <si>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</si>
  <si>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</si>
  <si>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</si>
  <si>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</si>
  <si>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</si>
  <si>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</si>
  <si>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</si>
  <si>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</si>
  <si>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</si>
  <si>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</si>
  <si>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</si>
  <si>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</si>
  <si>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</si>
  <si>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</si>
  <si>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</si>
  <si>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</si>
  <si>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</si>
  <si>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</si>
  <si>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</si>
  <si>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</si>
  <si>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</si>
  <si>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</si>
  <si>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</si>
  <si>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</si>
  <si>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</si>
  <si>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</si>
  <si>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</si>
  <si>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</si>
  <si>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Academy school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</si>
  <si>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</si>
  <si>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</si>
  <si>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</si>
  <si>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</si>
  <si>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</si>
  <si>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</si>
  <si>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</si>
  <si>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</si>
  <si>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</si>
  <si>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</si>
  <si>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</si>
  <si>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</si>
  <si>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</si>
  <si>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</si>
  <si>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</si>
  <si>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</si>
  <si>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</si>
  <si>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</si>
  <si>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</si>
  <si>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</si>
  <si>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</si>
  <si>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</si>
  <si>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</si>
  <si>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</si>
  <si>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</si>
  <si>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</si>
  <si>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</si>
  <si>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3/9/2017</t>
  </si>
  <si>
    <t>Mshwari</t>
  </si>
  <si>
    <t>His brother registered his line and defaulted without his knowledge</t>
  </si>
  <si>
    <t>8/8/2016</t>
  </si>
  <si>
    <t>244 days in arrears his brother registered his line using his ID and he defaulteed without his knowledge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</si>
  <si>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</si>
  <si>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</si>
  <si>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</si>
  <si>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</si>
  <si>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</si>
  <si>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</si>
  <si>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</si>
  <si>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</si>
  <si>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</si>
  <si>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</si>
  <si>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</si>
  <si>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</si>
  <si>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2017/11/29</t>
  </si>
  <si>
    <t>Loan terms</t>
  </si>
  <si>
    <t>Expected disbursement date</t>
  </si>
  <si>
    <t>Expected first repayment date</t>
  </si>
  <si>
    <t>2017/12/29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</si>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</sst>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Sheep, Chicken: sale of ex layers</v>
      </c>
    </row>
    <row r="8" spans="1:7">
      <c r="B8" s="1" t="s">
        <v>4</v>
      </c>
      <c r="C8" t="str">
        <f>IF(Inputs!B29="","None",Inputs!B29)</f>
        <v>Academy school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0.2379845452267755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0.02272623971637653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384952.6838645701</v>
      </c>
    </row>
    <row r="18" spans="1:7">
      <c r="B18" s="1" t="s">
        <v>12</v>
      </c>
      <c r="C18" s="36">
        <f>MIN(Output!B6:M6)</f>
        <v>-52718.26021469834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175135.6430057767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1525</v>
      </c>
    </row>
    <row r="25" spans="1:7">
      <c r="B25" s="1" t="s">
        <v>18</v>
      </c>
      <c r="C25" s="36">
        <f>MAX(Inputs!A56:A60)</f>
        <v>2600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19281.73978530167</v>
      </c>
      <c r="C6" s="51">
        <f>C30-C88</f>
        <v>6381.739785301659</v>
      </c>
      <c r="D6" s="51">
        <f>D30-D88</f>
        <v>19281.73978530167</v>
      </c>
      <c r="E6" s="51">
        <f>E30-E88</f>
        <v>175135.6430057767</v>
      </c>
      <c r="F6" s="51">
        <f>F30-F88</f>
        <v>25113.73978530167</v>
      </c>
      <c r="G6" s="51">
        <f>G30-G88</f>
        <v>-52718.26021469834</v>
      </c>
      <c r="H6" s="51">
        <f>H30-H88</f>
        <v>19281.73978530167</v>
      </c>
      <c r="I6" s="51">
        <f>I30-I88</f>
        <v>6381.739785301659</v>
      </c>
      <c r="J6" s="51">
        <f>J30-J88</f>
        <v>19281.73978530167</v>
      </c>
      <c r="K6" s="51">
        <f>K30-K88</f>
        <v>175135.6430057767</v>
      </c>
      <c r="L6" s="51">
        <f>L30-L88</f>
        <v>25113.73978530167</v>
      </c>
      <c r="M6" s="51">
        <f>M30-M88</f>
        <v>-52718.26021469834</v>
      </c>
      <c r="N6" s="51">
        <f>N30-N88</f>
        <v>19281.73978530167</v>
      </c>
      <c r="O6" s="51">
        <f>O30-O88</f>
        <v>6381.739785301659</v>
      </c>
      <c r="P6" s="51">
        <f>P30-P88</f>
        <v>19281.73978530167</v>
      </c>
      <c r="Q6" s="51">
        <f>Q30-Q88</f>
        <v>175135.6430057767</v>
      </c>
      <c r="R6" s="51">
        <f>R30-R88</f>
        <v>25113.73978530167</v>
      </c>
      <c r="S6" s="51">
        <f>S30-S88</f>
        <v>-52718.26021469834</v>
      </c>
      <c r="T6" s="51">
        <f>T30-T88</f>
        <v>169281.7397853016</v>
      </c>
      <c r="U6" s="51">
        <f>U30-U88</f>
        <v>6381.739785301659</v>
      </c>
      <c r="V6" s="51">
        <f>V30-V88</f>
        <v>19281.73978530167</v>
      </c>
      <c r="W6" s="51">
        <f>W30-W88</f>
        <v>175135.6430057767</v>
      </c>
      <c r="X6" s="51">
        <f>X30-X88</f>
        <v>25113.73978530167</v>
      </c>
      <c r="Y6" s="51">
        <f>Y30-Y88</f>
        <v>-52718.26021469834</v>
      </c>
      <c r="Z6" s="51">
        <f>SUMIF($B$13:$Y$13,"Yes",B6:Y6)</f>
        <v>404234.4236498718</v>
      </c>
      <c r="AA6" s="51">
        <f>AA30-AA88</f>
        <v>384952.68386457</v>
      </c>
      <c r="AB6" s="51">
        <f>AB30-AB88</f>
        <v>919905.36772914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1250</v>
      </c>
      <c r="J7" s="80">
        <f>IF(ISERROR(VLOOKUP(MONTH(J5),Inputs!$D$66:$D$71,1,0)),"",INDEX(Inputs!$B$66:$B$71,MATCH(MONTH(Output!J5),Inputs!$D$66:$D$71,0))-INDEX(Inputs!$C$66:$C$71,MATCH(MONTH(Output!J5),Inputs!$D$66:$D$71,0)))</f>
        <v>140</v>
      </c>
      <c r="K7" s="80">
        <f>IF(ISERROR(VLOOKUP(MONTH(K5),Inputs!$D$66:$D$71,1,0)),"",INDEX(Inputs!$B$66:$B$71,MATCH(MONTH(Output!K5),Inputs!$D$66:$D$71,0))-INDEX(Inputs!$C$66:$C$71,MATCH(MONTH(Output!K5),Inputs!$D$66:$D$71,0)))</f>
        <v>541</v>
      </c>
      <c r="L7" s="80">
        <f>IF(ISERROR(VLOOKUP(MONTH(L5),Inputs!$D$66:$D$71,1,0)),"",INDEX(Inputs!$B$66:$B$71,MATCH(MONTH(Output!L5),Inputs!$D$66:$D$71,0))-INDEX(Inputs!$C$66:$C$71,MATCH(MONTH(Output!L5),Inputs!$D$66:$D$71,0)))</f>
        <v>1047</v>
      </c>
      <c r="M7" s="80">
        <f>IF(ISERROR(VLOOKUP(MONTH(M5),Inputs!$D$66:$D$71,1,0)),"",INDEX(Inputs!$B$66:$B$71,MATCH(MONTH(Output!M5),Inputs!$D$66:$D$71,0))-INDEX(Inputs!$C$66:$C$71,MATCH(MONTH(Output!M5),Inputs!$D$66:$D$71,0)))</f>
        <v>-1850226</v>
      </c>
      <c r="N7" s="80">
        <f>IF(ISERROR(VLOOKUP(MONTH(N5),Inputs!$D$66:$D$71,1,0)),"",INDEX(Inputs!$B$66:$B$71,MATCH(MONTH(Output!N5),Inputs!$D$66:$D$71,0))-INDEX(Inputs!$C$66:$C$71,MATCH(MONTH(Output!N5),Inputs!$D$66:$D$71,0)))</f>
        <v>30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1250</v>
      </c>
      <c r="V7" s="80">
        <f>IF(ISERROR(VLOOKUP(MONTH(V5),Inputs!$D$66:$D$71,1,0)),"",INDEX(Inputs!$B$66:$B$71,MATCH(MONTH(Output!V5),Inputs!$D$66:$D$71,0))-INDEX(Inputs!$C$66:$C$71,MATCH(MONTH(Output!V5),Inputs!$D$66:$D$71,0)))</f>
        <v>140</v>
      </c>
      <c r="W7" s="80">
        <f>IF(ISERROR(VLOOKUP(MONTH(W5),Inputs!$D$66:$D$71,1,0)),"",INDEX(Inputs!$B$66:$B$71,MATCH(MONTH(Output!W5),Inputs!$D$66:$D$71,0))-INDEX(Inputs!$C$66:$C$71,MATCH(MONTH(Output!W5),Inputs!$D$66:$D$71,0)))</f>
        <v>541</v>
      </c>
      <c r="X7" s="80">
        <f>IF(ISERROR(VLOOKUP(MONTH(X5),Inputs!$D$66:$D$71,1,0)),"",INDEX(Inputs!$B$66:$B$71,MATCH(MONTH(Output!X5),Inputs!$D$66:$D$71,0))-INDEX(Inputs!$C$66:$C$71,MATCH(MONTH(Output!X5),Inputs!$D$66:$D$71,0)))</f>
        <v>1047</v>
      </c>
      <c r="Y7" s="80">
        <f>IF(ISERROR(VLOOKUP(MONTH(Y5),Inputs!$D$66:$D$71,1,0)),"",INDEX(Inputs!$B$66:$B$71,MATCH(MONTH(Output!Y5),Inputs!$D$66:$D$71,0))-INDEX(Inputs!$C$66:$C$71,MATCH(MONTH(Output!Y5),Inputs!$D$66:$D$71,0)))</f>
        <v>-1850226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119281.7397853017</v>
      </c>
      <c r="C11" s="80">
        <f>C6+C9-C10</f>
        <v>-3618.260214698341</v>
      </c>
      <c r="D11" s="80">
        <f>D6+D9-D10</f>
        <v>9281.739785301666</v>
      </c>
      <c r="E11" s="80">
        <f>E6+E9-E10</f>
        <v>165135.6430057767</v>
      </c>
      <c r="F11" s="80">
        <f>F6+F9-F10</f>
        <v>15113.73978530167</v>
      </c>
      <c r="G11" s="80">
        <f>G6+G9-G10</f>
        <v>-62718.26021469834</v>
      </c>
      <c r="H11" s="80">
        <f>H6+H9-H10</f>
        <v>9281.739785301666</v>
      </c>
      <c r="I11" s="80">
        <f>I6+I9-I10</f>
        <v>-3618.260214698341</v>
      </c>
      <c r="J11" s="80">
        <f>J6+J9-J10</f>
        <v>9281.739785301666</v>
      </c>
      <c r="K11" s="80">
        <f>K6+K9-K10</f>
        <v>165135.6430057767</v>
      </c>
      <c r="L11" s="80">
        <f>L6+L9-L10</f>
        <v>15113.73978530167</v>
      </c>
      <c r="M11" s="80">
        <f>M6+M9-M10</f>
        <v>-62718.26021469834</v>
      </c>
      <c r="N11" s="80">
        <f>N6+N9-N10</f>
        <v>9281.739785301666</v>
      </c>
      <c r="O11" s="80">
        <f>O6+O9-O10</f>
        <v>6381.739785301659</v>
      </c>
      <c r="P11" s="80">
        <f>P6+P9-P10</f>
        <v>19281.73978530167</v>
      </c>
      <c r="Q11" s="80">
        <f>Q6+Q9-Q10</f>
        <v>175135.6430057767</v>
      </c>
      <c r="R11" s="80">
        <f>R6+R9-R10</f>
        <v>25113.73978530167</v>
      </c>
      <c r="S11" s="80">
        <f>S6+S9-S10</f>
        <v>-52718.26021469834</v>
      </c>
      <c r="T11" s="80">
        <f>T6+T9-T10</f>
        <v>169281.7397853016</v>
      </c>
      <c r="U11" s="80">
        <f>U6+U9-U10</f>
        <v>6381.739785301659</v>
      </c>
      <c r="V11" s="80">
        <f>V6+V9-V10</f>
        <v>19281.73978530167</v>
      </c>
      <c r="W11" s="80">
        <f>W6+W9-W10</f>
        <v>175135.6430057767</v>
      </c>
      <c r="X11" s="80">
        <f>X6+X9-X10</f>
        <v>25113.73978530167</v>
      </c>
      <c r="Y11" s="80">
        <f>Y6+Y9-Y10</f>
        <v>-52718.26021469834</v>
      </c>
      <c r="Z11" s="85">
        <f>SUMIF($B$13:$Y$13,"Yes",B11:Y11)</f>
        <v>384234.4236498718</v>
      </c>
      <c r="AA11" s="80">
        <f>SUM(B11:M11)</f>
        <v>374952.6838645701</v>
      </c>
      <c r="AB11" s="46">
        <f>SUM(B11:Y11)</f>
        <v>899905.3677291399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0.07957761502522741</v>
      </c>
      <c r="D12" s="82">
        <f>IF(D13="Yes",IF(SUM($B$10:D10)/(SUM($B$6:D6)+SUM($B$9:D9))&lt;0,999.99,SUM($B$10:D10)/(SUM($B$6:D6)+SUM($B$9:D9))),"")</f>
        <v>0.1379831641835051</v>
      </c>
      <c r="E12" s="82">
        <f>IF(E13="Yes",IF(SUM($B$10:E10)/(SUM($B$6:E6)+SUM($B$9:E9))&lt;0,999.99,SUM($B$10:E10)/(SUM($B$6:E6)+SUM($B$9:E9))),"")</f>
        <v>0.09372631583984208</v>
      </c>
      <c r="F12" s="82">
        <f>IF(F13="Yes",IF(SUM($B$10:F10)/(SUM($B$6:F6)+SUM($B$9:F9))&lt;0,999.99,SUM($B$10:F10)/(SUM($B$6:F6)+SUM($B$9:F9))),"")</f>
        <v>0.1158766671066544</v>
      </c>
      <c r="G12" s="82">
        <f>IF(G13="Yes",IF(SUM($B$10:G10)/(SUM($B$6:G6)+SUM($B$9:G9))&lt;0,999.99,SUM($B$10:G10)/(SUM($B$6:G6)+SUM($B$9:G9))),"")</f>
        <v>0.1709539980897879</v>
      </c>
      <c r="H12" s="82">
        <f>IF(H13="Yes",IF(SUM($B$10:H10)/(SUM($B$6:H6)+SUM($B$9:H9))&lt;0,999.99,SUM($B$10:H10)/(SUM($B$6:H6)+SUM($B$9:H9))),"")</f>
        <v>0.1924569193826141</v>
      </c>
      <c r="I12" s="82">
        <f>IF(I13="Yes",IF(SUM($B$10:I10)/(SUM($B$6:I6)+SUM($B$9:I9))&lt;0,999.99,SUM($B$10:I10)/(SUM($B$6:I6)+SUM($B$9:I9))),"")</f>
        <v>0.2200290415368969</v>
      </c>
      <c r="J12" s="82">
        <f>IF(J13="Yes",IF(SUM($B$10:J10)/(SUM($B$6:J6)+SUM($B$9:J9))&lt;0,999.99,SUM($B$10:J10)/(SUM($B$6:J6)+SUM($B$9:J9))),"")</f>
        <v>0.2370921398578688</v>
      </c>
      <c r="K12" s="82">
        <f>IF(K13="Yes",IF(SUM($B$10:K10)/(SUM($B$6:K6)+SUM($B$9:K9))&lt;0,999.99,SUM($B$10:K10)/(SUM($B$6:K6)+SUM($B$9:K9))),"")</f>
        <v>0.1755901570517821</v>
      </c>
      <c r="L12" s="82">
        <f>IF(L13="Yes",IF(SUM($B$10:L10)/(SUM($B$6:L6)+SUM($B$9:L9))&lt;0,999.99,SUM($B$10:L10)/(SUM($B$6:L6)+SUM($B$9:L9))),"")</f>
        <v>0.1859873610452289</v>
      </c>
      <c r="M12" s="82">
        <f>IF(M13="Yes",IF(SUM($B$10:M10)/(SUM($B$6:M6)+SUM($B$9:M9))&lt;0,999.99,SUM($B$10:M10)/(SUM($B$6:M6)+SUM($B$9:M9))),"")</f>
        <v>0.2268262526632785</v>
      </c>
      <c r="N12" s="82">
        <f>IF(N13="Yes",IF(SUM($B$10:N10)/(SUM($B$6:N6)+SUM($B$9:N9))&lt;0,999.99,SUM($B$10:N10)/(SUM($B$6:N6)+SUM($B$9:N9))),"")</f>
        <v>0.2379845452267755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155853.9032204751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155853.9032204751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155853.9032204751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155853.9032204751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311707.8064409501</v>
      </c>
      <c r="AA18" s="36">
        <f>SUM(B18:M18)</f>
        <v>311707.8064409501</v>
      </c>
      <c r="AB18" s="36">
        <f>SUM(B18:Y18)</f>
        <v>623415.6128819003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62000.00000000002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19166.66666666667</v>
      </c>
      <c r="C24" s="36">
        <f>IFERROR(Calculations!$P14/12,"")</f>
        <v>19166.66666666667</v>
      </c>
      <c r="D24" s="36">
        <f>IFERROR(Calculations!$P14/12,"")</f>
        <v>19166.66666666667</v>
      </c>
      <c r="E24" s="36">
        <f>IFERROR(Calculations!$P14/12,"")</f>
        <v>19166.66666666667</v>
      </c>
      <c r="F24" s="36">
        <f>IFERROR(Calculations!$P14/12,"")</f>
        <v>19166.66666666667</v>
      </c>
      <c r="G24" s="36">
        <f>IFERROR(Calculations!$P14/12,"")</f>
        <v>19166.66666666667</v>
      </c>
      <c r="H24" s="36">
        <f>IFERROR(Calculations!$P14/12,"")</f>
        <v>19166.66666666667</v>
      </c>
      <c r="I24" s="36">
        <f>IFERROR(Calculations!$P14/12,"")</f>
        <v>19166.66666666667</v>
      </c>
      <c r="J24" s="36">
        <f>IFERROR(Calculations!$P14/12,"")</f>
        <v>19166.66666666667</v>
      </c>
      <c r="K24" s="36">
        <f>IFERROR(Calculations!$P14/12,"")</f>
        <v>19166.66666666667</v>
      </c>
      <c r="L24" s="36">
        <f>IFERROR(Calculations!$P14/12,"")</f>
        <v>19166.66666666667</v>
      </c>
      <c r="M24" s="36">
        <f>IFERROR(Calculations!$P14/12,"")</f>
        <v>19166.66666666667</v>
      </c>
      <c r="N24" s="36">
        <f>IFERROR(Calculations!$P14/12,"")</f>
        <v>19166.66666666667</v>
      </c>
      <c r="O24" s="36">
        <f>IFERROR(Calculations!$P14/12,"")</f>
        <v>19166.66666666667</v>
      </c>
      <c r="P24" s="36">
        <f>IFERROR(Calculations!$P14/12,"")</f>
        <v>19166.66666666667</v>
      </c>
      <c r="Q24" s="36">
        <f>IFERROR(Calculations!$P14/12,"")</f>
        <v>19166.66666666667</v>
      </c>
      <c r="R24" s="36">
        <f>IFERROR(Calculations!$P14/12,"")</f>
        <v>19166.66666666667</v>
      </c>
      <c r="S24" s="36">
        <f>IFERROR(Calculations!$P14/12,"")</f>
        <v>19166.66666666667</v>
      </c>
      <c r="T24" s="36">
        <f>IFERROR(Calculations!$P14/12,"")</f>
        <v>19166.66666666667</v>
      </c>
      <c r="U24" s="36">
        <f>IFERROR(Calculations!$P14/12,"")</f>
        <v>19166.66666666667</v>
      </c>
      <c r="V24" s="36">
        <f>IFERROR(Calculations!$P14/12,"")</f>
        <v>19166.66666666667</v>
      </c>
      <c r="W24" s="36">
        <f>IFERROR(Calculations!$P14/12,"")</f>
        <v>19166.66666666667</v>
      </c>
      <c r="X24" s="36">
        <f>IFERROR(Calculations!$P14/12,"")</f>
        <v>19166.66666666667</v>
      </c>
      <c r="Y24" s="36">
        <f>IFERROR(Calculations!$P14/12,"")</f>
        <v>19166.66666666667</v>
      </c>
      <c r="Z24" s="36">
        <f>SUMIF($B$13:$Y$13,"Yes",B24:Y24)</f>
        <v>249166.6666666666</v>
      </c>
      <c r="AA24" s="36">
        <f>SUM(B24:M24)</f>
        <v>230000</v>
      </c>
      <c r="AB24" s="46">
        <f>SUM(B24:Y24)</f>
        <v>460000.0000000002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6250</v>
      </c>
      <c r="C26" s="36">
        <f>IFERROR(Calculations!$P16/12,"")</f>
        <v>6250</v>
      </c>
      <c r="D26" s="36">
        <f>IFERROR(Calculations!$P16/12,"")</f>
        <v>6250</v>
      </c>
      <c r="E26" s="36">
        <f>IFERROR(Calculations!$P16/12,"")</f>
        <v>6250</v>
      </c>
      <c r="F26" s="36">
        <f>IFERROR(Calculations!$P16/12,"")</f>
        <v>6250</v>
      </c>
      <c r="G26" s="36">
        <f>IFERROR(Calculations!$P16/12,"")</f>
        <v>6250</v>
      </c>
      <c r="H26" s="36">
        <f>IFERROR(Calculations!$P16/12,"")</f>
        <v>6250</v>
      </c>
      <c r="I26" s="36">
        <f>IFERROR(Calculations!$P16/12,"")</f>
        <v>6250</v>
      </c>
      <c r="J26" s="36">
        <f>IFERROR(Calculations!$P16/12,"")</f>
        <v>6250</v>
      </c>
      <c r="K26" s="36">
        <f>IFERROR(Calculations!$P16/12,"")</f>
        <v>6250</v>
      </c>
      <c r="L26" s="36">
        <f>IFERROR(Calculations!$P16/12,"")</f>
        <v>6250</v>
      </c>
      <c r="M26" s="36">
        <f>IFERROR(Calculations!$P16/12,"")</f>
        <v>6250</v>
      </c>
      <c r="N26" s="36">
        <f>IFERROR(Calculations!$P16/12,"")</f>
        <v>6250</v>
      </c>
      <c r="O26" s="36">
        <f>IFERROR(Calculations!$P16/12,"")</f>
        <v>6250</v>
      </c>
      <c r="P26" s="36">
        <f>IFERROR(Calculations!$P16/12,"")</f>
        <v>6250</v>
      </c>
      <c r="Q26" s="36">
        <f>IFERROR(Calculations!$P16/12,"")</f>
        <v>6250</v>
      </c>
      <c r="R26" s="36">
        <f>IFERROR(Calculations!$P16/12,"")</f>
        <v>6250</v>
      </c>
      <c r="S26" s="36">
        <f>IFERROR(Calculations!$P16/12,"")</f>
        <v>6250</v>
      </c>
      <c r="T26" s="36">
        <f>IFERROR(Calculations!$P16/12,"")</f>
        <v>6250</v>
      </c>
      <c r="U26" s="36">
        <f>IFERROR(Calculations!$P16/12,"")</f>
        <v>6250</v>
      </c>
      <c r="V26" s="36">
        <f>IFERROR(Calculations!$P16/12,"")</f>
        <v>6250</v>
      </c>
      <c r="W26" s="36">
        <f>IFERROR(Calculations!$P16/12,"")</f>
        <v>6250</v>
      </c>
      <c r="X26" s="36">
        <f>IFERROR(Calculations!$P16/12,"")</f>
        <v>6250</v>
      </c>
      <c r="Y26" s="36">
        <f>IFERROR(Calculations!$P16/12,"")</f>
        <v>6250</v>
      </c>
      <c r="Z26" s="36">
        <f>SUMIF($B$13:$Y$13,"Yes",B26:Y26)</f>
        <v>81250</v>
      </c>
      <c r="AA26" s="36">
        <f>SUM(B26:M26)</f>
        <v>75000</v>
      </c>
      <c r="AB26" s="46">
        <f>SUM(B26:Y26)</f>
        <v>150000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150000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150000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75416.66666666667</v>
      </c>
      <c r="C30" s="19">
        <f>SUM(C18:C29)</f>
        <v>75416.66666666667</v>
      </c>
      <c r="D30" s="19">
        <f>SUM(D18:D29)</f>
        <v>75416.66666666667</v>
      </c>
      <c r="E30" s="19">
        <f>SUM(E18:E29)</f>
        <v>231270.5698871417</v>
      </c>
      <c r="F30" s="19">
        <f>SUM(F18:F29)</f>
        <v>75416.66666666667</v>
      </c>
      <c r="G30" s="19">
        <f>SUM(G18:G29)</f>
        <v>75416.66666666667</v>
      </c>
      <c r="H30" s="19">
        <f>SUM(H18:H29)</f>
        <v>75416.66666666667</v>
      </c>
      <c r="I30" s="19">
        <f>SUM(I18:I29)</f>
        <v>75416.66666666667</v>
      </c>
      <c r="J30" s="19">
        <f>SUM(J18:J29)</f>
        <v>75416.66666666667</v>
      </c>
      <c r="K30" s="19">
        <f>SUM(K18:K29)</f>
        <v>231270.5698871417</v>
      </c>
      <c r="L30" s="19">
        <f>SUM(L18:L29)</f>
        <v>75416.66666666667</v>
      </c>
      <c r="M30" s="19">
        <f>SUM(M18:M29)</f>
        <v>75416.66666666667</v>
      </c>
      <c r="N30" s="19">
        <f>SUM(N18:N29)</f>
        <v>75416.66666666667</v>
      </c>
      <c r="O30" s="19">
        <f>SUM(O18:O29)</f>
        <v>75416.66666666667</v>
      </c>
      <c r="P30" s="19">
        <f>SUM(P18:P29)</f>
        <v>75416.66666666667</v>
      </c>
      <c r="Q30" s="19">
        <f>SUM(Q18:Q29)</f>
        <v>231270.5698871417</v>
      </c>
      <c r="R30" s="19">
        <f>SUM(R18:R29)</f>
        <v>75416.66666666667</v>
      </c>
      <c r="S30" s="19">
        <f>SUM(S18:S29)</f>
        <v>75416.66666666667</v>
      </c>
      <c r="T30" s="19">
        <f>SUM(T18:T29)</f>
        <v>225416.6666666667</v>
      </c>
      <c r="U30" s="19">
        <f>SUM(U18:U29)</f>
        <v>75416.66666666667</v>
      </c>
      <c r="V30" s="19">
        <f>SUM(V18:V29)</f>
        <v>75416.66666666667</v>
      </c>
      <c r="W30" s="19">
        <f>SUM(W18:W29)</f>
        <v>231270.5698871417</v>
      </c>
      <c r="X30" s="19">
        <f>SUM(X18:X29)</f>
        <v>75416.66666666667</v>
      </c>
      <c r="Y30" s="19">
        <f>SUM(Y18:Y29)</f>
        <v>75416.66666666667</v>
      </c>
      <c r="Z30" s="19">
        <f>SUMIF($B$13:$Y$13,"Yes",B30:Y30)</f>
        <v>1292124.473107617</v>
      </c>
      <c r="AA30" s="19">
        <f>SUM(B30:M30)</f>
        <v>1216707.80644095</v>
      </c>
      <c r="AB30" s="19">
        <f>SUM(B30:Y30)</f>
        <v>2583415.6128819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72000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72000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72000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72000</v>
      </c>
      <c r="Z42" s="36">
        <f>SUMIF($B$13:$Y$13,"Yes",B42:Y42)</f>
        <v>144000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72000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72000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72000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72000</v>
      </c>
      <c r="Z43" s="36">
        <f>SUMIF($B$13:$Y$13,"Yes",B43:Y43)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12900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12900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12900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12900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12900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12900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12900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12900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5832</v>
      </c>
      <c r="C66" s="36">
        <f>O66</f>
        <v>5832</v>
      </c>
      <c r="D66" s="36">
        <f>P66</f>
        <v>5832</v>
      </c>
      <c r="E66" s="36">
        <f>Q66</f>
        <v>5832</v>
      </c>
      <c r="F66" s="36">
        <f>R66</f>
        <v>0</v>
      </c>
      <c r="G66" s="36">
        <f>S66</f>
        <v>5832</v>
      </c>
      <c r="H66" s="36">
        <f>T66</f>
        <v>5832</v>
      </c>
      <c r="I66" s="36">
        <f>U66</f>
        <v>5832</v>
      </c>
      <c r="J66" s="36">
        <f>V66</f>
        <v>5832</v>
      </c>
      <c r="K66" s="36">
        <f>W66</f>
        <v>5832</v>
      </c>
      <c r="L66" s="36">
        <f>X66</f>
        <v>0</v>
      </c>
      <c r="M66" s="36">
        <f>Y66</f>
        <v>5832</v>
      </c>
      <c r="N66" s="46">
        <f>SUM(N67:N71)</f>
        <v>5832</v>
      </c>
      <c r="O66" s="46">
        <f>SUM(O67:O71)</f>
        <v>5832</v>
      </c>
      <c r="P66" s="46">
        <f>SUM(P67:P71)</f>
        <v>5832</v>
      </c>
      <c r="Q66" s="46">
        <f>SUM(Q67:Q71)</f>
        <v>5832</v>
      </c>
      <c r="R66" s="46">
        <f>SUM(R67:R71)</f>
        <v>0</v>
      </c>
      <c r="S66" s="46">
        <f>SUM(S67:S71)</f>
        <v>5832</v>
      </c>
      <c r="T66" s="46">
        <f>SUM(T67:T71)</f>
        <v>5832</v>
      </c>
      <c r="U66" s="46">
        <f>SUM(U67:U71)</f>
        <v>5832</v>
      </c>
      <c r="V66" s="46">
        <f>SUM(V67:V71)</f>
        <v>5832</v>
      </c>
      <c r="W66" s="46">
        <f>SUM(W67:W71)</f>
        <v>5832</v>
      </c>
      <c r="X66" s="46">
        <f>SUM(X67:X71)</f>
        <v>0</v>
      </c>
      <c r="Y66" s="46">
        <f>SUM(Y67:Y71)</f>
        <v>5832</v>
      </c>
      <c r="Z66" s="46">
        <f>SUMIF($B$13:$Y$13,"Yes",B66:Y66)</f>
        <v>64152</v>
      </c>
      <c r="AA66" s="46">
        <f>SUM(B66:M66)</f>
        <v>58320</v>
      </c>
      <c r="AB66" s="46">
        <f>SUM(B66:Y66)</f>
        <v>116640</v>
      </c>
    </row>
    <row r="67" spans="1:30" hidden="true" outlineLevel="1">
      <c r="A67" s="181" t="str">
        <f>Calculations!$A$4</f>
        <v>Potatoes</v>
      </c>
      <c r="B67" s="36">
        <f>N67</f>
        <v>5832</v>
      </c>
      <c r="C67" s="36">
        <f>O67</f>
        <v>5832</v>
      </c>
      <c r="D67" s="36">
        <f>P67</f>
        <v>5832</v>
      </c>
      <c r="E67" s="36">
        <f>Q67</f>
        <v>5832</v>
      </c>
      <c r="F67" s="36">
        <f>R67</f>
        <v>0</v>
      </c>
      <c r="G67" s="36">
        <f>S67</f>
        <v>5832</v>
      </c>
      <c r="H67" s="36">
        <f>T67</f>
        <v>5832</v>
      </c>
      <c r="I67" s="36">
        <f>U67</f>
        <v>5832</v>
      </c>
      <c r="J67" s="36">
        <f>V67</f>
        <v>5832</v>
      </c>
      <c r="K67" s="36">
        <f>W67</f>
        <v>5832</v>
      </c>
      <c r="L67" s="36">
        <f>X67</f>
        <v>0</v>
      </c>
      <c r="M67" s="36">
        <f>Y67</f>
        <v>5832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5832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5832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5832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5832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5832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5832</v>
      </c>
      <c r="Z67" s="46">
        <f>SUMIF($B$13:$Y$13,"Yes",B67:Y67)</f>
        <v>64152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1333.333333333333</v>
      </c>
      <c r="C75" s="46">
        <f>SUM(Calculations!$R$14:$R$16)/12</f>
        <v>1333.333333333333</v>
      </c>
      <c r="D75" s="46">
        <f>SUM(Calculations!$R$14:$R$16)/12</f>
        <v>1333.333333333333</v>
      </c>
      <c r="E75" s="46">
        <f>SUM(Calculations!$R$14:$R$16)/12</f>
        <v>1333.333333333333</v>
      </c>
      <c r="F75" s="46">
        <f>SUM(Calculations!$R$14:$R$16)/12</f>
        <v>1333.333333333333</v>
      </c>
      <c r="G75" s="46">
        <f>SUM(Calculations!$R$14:$R$16)/12</f>
        <v>1333.333333333333</v>
      </c>
      <c r="H75" s="46">
        <f>SUM(Calculations!$R$14:$R$16)/12</f>
        <v>1333.333333333333</v>
      </c>
      <c r="I75" s="46">
        <f>SUM(Calculations!$R$14:$R$16)/12</f>
        <v>1333.333333333333</v>
      </c>
      <c r="J75" s="46">
        <f>SUM(Calculations!$R$14:$R$16)/12</f>
        <v>1333.333333333333</v>
      </c>
      <c r="K75" s="46">
        <f>SUM(Calculations!$R$14:$R$16)/12</f>
        <v>1333.333333333333</v>
      </c>
      <c r="L75" s="46">
        <f>SUM(Calculations!$R$14:$R$16)/12</f>
        <v>1333.333333333333</v>
      </c>
      <c r="M75" s="46">
        <f>SUM(Calculations!$R$14:$R$16)/12</f>
        <v>1333.333333333333</v>
      </c>
      <c r="N75" s="46">
        <f>SUM(Calculations!$R$14:$R$16)/12</f>
        <v>1333.333333333333</v>
      </c>
      <c r="O75" s="46">
        <f>SUM(Calculations!$R$14:$R$16)/12</f>
        <v>1333.333333333333</v>
      </c>
      <c r="P75" s="46">
        <f>SUM(Calculations!$R$14:$R$16)/12</f>
        <v>1333.333333333333</v>
      </c>
      <c r="Q75" s="46">
        <f>SUM(Calculations!$R$14:$R$16)/12</f>
        <v>1333.333333333333</v>
      </c>
      <c r="R75" s="46">
        <f>SUM(Calculations!$R$14:$R$16)/12</f>
        <v>1333.333333333333</v>
      </c>
      <c r="S75" s="46">
        <f>SUM(Calculations!$R$14:$R$16)/12</f>
        <v>1333.333333333333</v>
      </c>
      <c r="T75" s="46">
        <f>SUM(Calculations!$R$14:$R$16)/12</f>
        <v>1333.333333333333</v>
      </c>
      <c r="U75" s="46">
        <f>SUM(Calculations!$R$14:$R$16)/12</f>
        <v>1333.333333333333</v>
      </c>
      <c r="V75" s="46">
        <f>SUM(Calculations!$R$14:$R$16)/12</f>
        <v>1333.333333333333</v>
      </c>
      <c r="W75" s="46">
        <f>SUM(Calculations!$R$14:$R$16)/12</f>
        <v>1333.333333333333</v>
      </c>
      <c r="X75" s="46">
        <f>SUM(Calculations!$R$14:$R$16)/12</f>
        <v>1333.333333333333</v>
      </c>
      <c r="Y75" s="46">
        <f>SUM(Calculations!$R$14:$R$16)/12</f>
        <v>1333.333333333333</v>
      </c>
      <c r="Z75" s="46">
        <f>SUMIF($B$13:$Y$13,"Yes",B75:Y75)</f>
        <v>17333.33333333334</v>
      </c>
      <c r="AA75" s="46">
        <f>SUM(B75:M75)</f>
        <v>16000</v>
      </c>
      <c r="AB75" s="46">
        <f>SUM(B75:Y75)</f>
        <v>31999.99999999999</v>
      </c>
    </row>
    <row r="76" spans="1:30">
      <c r="A76" s="16" t="s">
        <v>48</v>
      </c>
      <c r="B76" s="46">
        <f>SUM(Calculations!$S$14:$S$16)/12</f>
        <v>2583.333333333333</v>
      </c>
      <c r="C76" s="46">
        <f>SUM(Calculations!$S$14:$S$16)/12</f>
        <v>2583.333333333333</v>
      </c>
      <c r="D76" s="46">
        <f>SUM(Calculations!$S$14:$S$16)/12</f>
        <v>2583.333333333333</v>
      </c>
      <c r="E76" s="46">
        <f>SUM(Calculations!$S$14:$S$16)/12</f>
        <v>2583.333333333333</v>
      </c>
      <c r="F76" s="46">
        <f>SUM(Calculations!$S$14:$S$16)/12</f>
        <v>2583.333333333333</v>
      </c>
      <c r="G76" s="46">
        <f>SUM(Calculations!$S$14:$S$16)/12</f>
        <v>2583.333333333333</v>
      </c>
      <c r="H76" s="46">
        <f>SUM(Calculations!$S$14:$S$16)/12</f>
        <v>2583.333333333333</v>
      </c>
      <c r="I76" s="46">
        <f>SUM(Calculations!$S$14:$S$16)/12</f>
        <v>2583.333333333333</v>
      </c>
      <c r="J76" s="46">
        <f>SUM(Calculations!$S$14:$S$16)/12</f>
        <v>2583.333333333333</v>
      </c>
      <c r="K76" s="46">
        <f>SUM(Calculations!$S$14:$S$16)/12</f>
        <v>2583.333333333333</v>
      </c>
      <c r="L76" s="46">
        <f>SUM(Calculations!$S$14:$S$16)/12</f>
        <v>2583.333333333333</v>
      </c>
      <c r="M76" s="46">
        <f>SUM(Calculations!$S$14:$S$16)/12</f>
        <v>2583.333333333333</v>
      </c>
      <c r="N76" s="46">
        <f>SUM(Calculations!$S$14:$S$16)/12</f>
        <v>2583.333333333333</v>
      </c>
      <c r="O76" s="46">
        <f>SUM(Calculations!$S$14:$S$16)/12</f>
        <v>2583.333333333333</v>
      </c>
      <c r="P76" s="46">
        <f>SUM(Calculations!$S$14:$S$16)/12</f>
        <v>2583.333333333333</v>
      </c>
      <c r="Q76" s="46">
        <f>SUM(Calculations!$S$14:$S$16)/12</f>
        <v>2583.333333333333</v>
      </c>
      <c r="R76" s="46">
        <f>SUM(Calculations!$S$14:$S$16)/12</f>
        <v>2583.333333333333</v>
      </c>
      <c r="S76" s="46">
        <f>SUM(Calculations!$S$14:$S$16)/12</f>
        <v>2583.333333333333</v>
      </c>
      <c r="T76" s="46">
        <f>SUM(Calculations!$S$14:$S$16)/12</f>
        <v>2583.333333333333</v>
      </c>
      <c r="U76" s="46">
        <f>SUM(Calculations!$S$14:$S$16)/12</f>
        <v>2583.333333333333</v>
      </c>
      <c r="V76" s="46">
        <f>SUM(Calculations!$S$14:$S$16)/12</f>
        <v>2583.333333333333</v>
      </c>
      <c r="W76" s="46">
        <f>SUM(Calculations!$S$14:$S$16)/12</f>
        <v>2583.333333333333</v>
      </c>
      <c r="X76" s="46">
        <f>SUM(Calculations!$S$14:$S$16)/12</f>
        <v>2583.333333333333</v>
      </c>
      <c r="Y76" s="46">
        <f>SUM(Calculations!$S$14:$S$16)/12</f>
        <v>2583.333333333333</v>
      </c>
      <c r="Z76" s="46">
        <f>SUMIF($B$13:$Y$13,"Yes",B76:Y76)</f>
        <v>33583.33333333333</v>
      </c>
      <c r="AA76" s="46">
        <f>SUM(B76:M76)</f>
        <v>31000</v>
      </c>
      <c r="AB76" s="46">
        <f>SUM(B76:Y76)</f>
        <v>62000.00000000002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21386.26021469834</v>
      </c>
      <c r="C81" s="46">
        <f>(SUM($AA$18:$AA$29)-SUM($AA$36,$AA$42,$AA$48,$AA$54,$AA$60,$AA$66,$AA$72:$AA$79))*Parameters!$B$37/12</f>
        <v>21386.26021469834</v>
      </c>
      <c r="D81" s="46">
        <f>(SUM($AA$18:$AA$29)-SUM($AA$36,$AA$42,$AA$48,$AA$54,$AA$60,$AA$66,$AA$72:$AA$79))*Parameters!$B$37/12</f>
        <v>21386.26021469834</v>
      </c>
      <c r="E81" s="46">
        <f>(SUM($AA$18:$AA$29)-SUM($AA$36,$AA$42,$AA$48,$AA$54,$AA$60,$AA$66,$AA$72:$AA$79))*Parameters!$B$37/12</f>
        <v>21386.26021469834</v>
      </c>
      <c r="F81" s="46">
        <f>(SUM($AA$18:$AA$29)-SUM($AA$36,$AA$42,$AA$48,$AA$54,$AA$60,$AA$66,$AA$72:$AA$79))*Parameters!$B$37/12</f>
        <v>21386.26021469834</v>
      </c>
      <c r="G81" s="46">
        <f>(SUM($AA$18:$AA$29)-SUM($AA$36,$AA$42,$AA$48,$AA$54,$AA$60,$AA$66,$AA$72:$AA$79))*Parameters!$B$37/12</f>
        <v>21386.26021469834</v>
      </c>
      <c r="H81" s="46">
        <f>(SUM($AA$18:$AA$29)-SUM($AA$36,$AA$42,$AA$48,$AA$54,$AA$60,$AA$66,$AA$72:$AA$79))*Parameters!$B$37/12</f>
        <v>21386.26021469834</v>
      </c>
      <c r="I81" s="46">
        <f>(SUM($AA$18:$AA$29)-SUM($AA$36,$AA$42,$AA$48,$AA$54,$AA$60,$AA$66,$AA$72:$AA$79))*Parameters!$B$37/12</f>
        <v>21386.26021469834</v>
      </c>
      <c r="J81" s="46">
        <f>(SUM($AA$18:$AA$29)-SUM($AA$36,$AA$42,$AA$48,$AA$54,$AA$60,$AA$66,$AA$72:$AA$79))*Parameters!$B$37/12</f>
        <v>21386.26021469834</v>
      </c>
      <c r="K81" s="46">
        <f>(SUM($AA$18:$AA$29)-SUM($AA$36,$AA$42,$AA$48,$AA$54,$AA$60,$AA$66,$AA$72:$AA$79))*Parameters!$B$37/12</f>
        <v>21386.26021469834</v>
      </c>
      <c r="L81" s="46">
        <f>(SUM($AA$18:$AA$29)-SUM($AA$36,$AA$42,$AA$48,$AA$54,$AA$60,$AA$66,$AA$72:$AA$79))*Parameters!$B$37/12</f>
        <v>21386.26021469834</v>
      </c>
      <c r="M81" s="46">
        <f>(SUM($AA$18:$AA$29)-SUM($AA$36,$AA$42,$AA$48,$AA$54,$AA$60,$AA$66,$AA$72:$AA$79))*Parameters!$B$37/12</f>
        <v>21386.26021469834</v>
      </c>
      <c r="N81" s="46">
        <f>(SUM($AA$18:$AA$29)-SUM($AA$36,$AA$42,$AA$48,$AA$54,$AA$60,$AA$66,$AA$72:$AA$79))*Parameters!$B$37/12</f>
        <v>21386.26021469834</v>
      </c>
      <c r="O81" s="46">
        <f>(SUM($AA$18:$AA$29)-SUM($AA$36,$AA$42,$AA$48,$AA$54,$AA$60,$AA$66,$AA$72:$AA$79))*Parameters!$B$37/12</f>
        <v>21386.26021469834</v>
      </c>
      <c r="P81" s="46">
        <f>(SUM($AA$18:$AA$29)-SUM($AA$36,$AA$42,$AA$48,$AA$54,$AA$60,$AA$66,$AA$72:$AA$79))*Parameters!$B$37/12</f>
        <v>21386.26021469834</v>
      </c>
      <c r="Q81" s="46">
        <f>(SUM($AA$18:$AA$29)-SUM($AA$36,$AA$42,$AA$48,$AA$54,$AA$60,$AA$66,$AA$72:$AA$79))*Parameters!$B$37/12</f>
        <v>21386.26021469834</v>
      </c>
      <c r="R81" s="46">
        <f>(SUM($AA$18:$AA$29)-SUM($AA$36,$AA$42,$AA$48,$AA$54,$AA$60,$AA$66,$AA$72:$AA$79))*Parameters!$B$37/12</f>
        <v>21386.26021469834</v>
      </c>
      <c r="S81" s="46">
        <f>(SUM($AA$18:$AA$29)-SUM($AA$36,$AA$42,$AA$48,$AA$54,$AA$60,$AA$66,$AA$72:$AA$79))*Parameters!$B$37/12</f>
        <v>21386.26021469834</v>
      </c>
      <c r="T81" s="46">
        <f>(SUM($AA$18:$AA$29)-SUM($AA$36,$AA$42,$AA$48,$AA$54,$AA$60,$AA$66,$AA$72:$AA$79))*Parameters!$B$37/12</f>
        <v>21386.26021469834</v>
      </c>
      <c r="U81" s="46">
        <f>(SUM($AA$18:$AA$29)-SUM($AA$36,$AA$42,$AA$48,$AA$54,$AA$60,$AA$66,$AA$72:$AA$79))*Parameters!$B$37/12</f>
        <v>21386.26021469834</v>
      </c>
      <c r="V81" s="46">
        <f>(SUM($AA$18:$AA$29)-SUM($AA$36,$AA$42,$AA$48,$AA$54,$AA$60,$AA$66,$AA$72:$AA$79))*Parameters!$B$37/12</f>
        <v>21386.26021469834</v>
      </c>
      <c r="W81" s="46">
        <f>(SUM($AA$18:$AA$29)-SUM($AA$36,$AA$42,$AA$48,$AA$54,$AA$60,$AA$66,$AA$72:$AA$79))*Parameters!$B$37/12</f>
        <v>21386.26021469834</v>
      </c>
      <c r="X81" s="46">
        <f>(SUM($AA$18:$AA$29)-SUM($AA$36,$AA$42,$AA$48,$AA$54,$AA$60,$AA$66,$AA$72:$AA$79))*Parameters!$B$37/12</f>
        <v>21386.26021469834</v>
      </c>
      <c r="Y81" s="46">
        <f>(SUM($AA$18:$AA$29)-SUM($AA$36,$AA$42,$AA$48,$AA$54,$AA$60,$AA$66,$AA$72:$AA$79))*Parameters!$B$37/12</f>
        <v>21386.26021469834</v>
      </c>
      <c r="Z81" s="46">
        <f>SUMIF($B$13:$Y$13,"Yes",B81:Y81)</f>
        <v>278021.3827910784</v>
      </c>
      <c r="AA81" s="46">
        <f>SUM(B81:M81)</f>
        <v>256635.12257638</v>
      </c>
      <c r="AB81" s="46">
        <f>SUM(B81:Y81)</f>
        <v>513270.2451527599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56134.92688136501</v>
      </c>
      <c r="C88" s="19">
        <f>SUM(C72:C82,C66,C60,C54,C48,C42,C36)</f>
        <v>69034.92688136501</v>
      </c>
      <c r="D88" s="19">
        <f>SUM(D72:D82,D66,D60,D54,D48,D42,D36)</f>
        <v>56134.92688136501</v>
      </c>
      <c r="E88" s="19">
        <f>SUM(E72:E82,E66,E60,E54,E48,E42,E36)</f>
        <v>56134.92688136501</v>
      </c>
      <c r="F88" s="19">
        <f>SUM(F72:F82,F66,F60,F54,F48,F42,F36)</f>
        <v>50302.92688136501</v>
      </c>
      <c r="G88" s="19">
        <f>SUM(G72:G82,G66,G60,G54,G48,G42,G36)</f>
        <v>128134.926881365</v>
      </c>
      <c r="H88" s="19">
        <f>SUM(H72:H82,H66,H60,H54,H48,H42,H36)</f>
        <v>56134.92688136501</v>
      </c>
      <c r="I88" s="19">
        <f>SUM(I72:I82,I66,I60,I54,I48,I42,I36)</f>
        <v>69034.92688136501</v>
      </c>
      <c r="J88" s="19">
        <f>SUM(J72:J82,J66,J60,J54,J48,J42,J36)</f>
        <v>56134.92688136501</v>
      </c>
      <c r="K88" s="19">
        <f>SUM(K72:K82,K66,K60,K54,K48,K42,K36)</f>
        <v>56134.92688136501</v>
      </c>
      <c r="L88" s="19">
        <f>SUM(L72:L82,L66,L60,L54,L48,L42,L36)</f>
        <v>50302.92688136501</v>
      </c>
      <c r="M88" s="19">
        <f>SUM(M72:M82,M66,M60,M54,M48,M42,M36)</f>
        <v>128134.926881365</v>
      </c>
      <c r="N88" s="19">
        <f>SUM(N72:N82,N66,N60,N54,N48,N42,N36)</f>
        <v>56134.92688136501</v>
      </c>
      <c r="O88" s="19">
        <f>SUM(O72:O82,O66,O60,O54,O48,O42,O36)</f>
        <v>69034.92688136501</v>
      </c>
      <c r="P88" s="19">
        <f>SUM(P72:P82,P66,P60,P54,P48,P42,P36)</f>
        <v>56134.92688136501</v>
      </c>
      <c r="Q88" s="19">
        <f>SUM(Q72:Q82,Q66,Q60,Q54,Q48,Q42,Q36)</f>
        <v>56134.92688136501</v>
      </c>
      <c r="R88" s="19">
        <f>SUM(R72:R82,R66,R60,R54,R48,R42,R36)</f>
        <v>50302.92688136501</v>
      </c>
      <c r="S88" s="19">
        <f>SUM(S72:S82,S66,S60,S54,S48,S42,S36)</f>
        <v>128134.926881365</v>
      </c>
      <c r="T88" s="19">
        <f>SUM(T72:T82,T66,T60,T54,T48,T42,T36)</f>
        <v>56134.92688136501</v>
      </c>
      <c r="U88" s="19">
        <f>SUM(U72:U82,U66,U60,U54,U48,U42,U36)</f>
        <v>69034.92688136501</v>
      </c>
      <c r="V88" s="19">
        <f>SUM(V72:V82,V66,V60,V54,V48,V42,V36)</f>
        <v>56134.92688136501</v>
      </c>
      <c r="W88" s="19">
        <f>SUM(W72:W82,W66,W60,W54,W48,W42,W36)</f>
        <v>56134.92688136501</v>
      </c>
      <c r="X88" s="19">
        <f>SUM(X72:X82,X66,X60,X54,X48,X42,X36)</f>
        <v>50302.92688136501</v>
      </c>
      <c r="Y88" s="19">
        <f>SUM(Y72:Y82,Y66,Y60,Y54,Y48,Y42,Y36)</f>
        <v>128134.926881365</v>
      </c>
      <c r="Z88" s="19">
        <f>SUMIF($B$13:$Y$13,"Yes",B88:Y88)</f>
        <v>887890.0494577452</v>
      </c>
      <c r="AA88" s="19">
        <f>SUM(B88:M88)</f>
        <v>831755.1225763801</v>
      </c>
      <c r="AB88" s="19">
        <f>SUM(B88:Y88)</f>
        <v>1663510.24515276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780000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4000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4400200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2</v>
      </c>
      <c r="D20" s="147">
        <v>2</v>
      </c>
      <c r="E20" s="16"/>
      <c r="F20" s="147" t="s">
        <v>93</v>
      </c>
      <c r="G20" s="16"/>
      <c r="H20" s="16"/>
      <c r="I20" s="147" t="s">
        <v>109</v>
      </c>
      <c r="J20" s="147">
        <v>100</v>
      </c>
      <c r="K20" s="147"/>
      <c r="L20" s="30"/>
    </row>
    <row r="21" spans="1:48">
      <c r="A21" s="144" t="s">
        <v>111</v>
      </c>
      <c r="B21" s="23"/>
      <c r="C21" s="144">
        <v>40</v>
      </c>
      <c r="D21" s="150">
        <v>40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50000</v>
      </c>
    </row>
    <row r="31" spans="1:48">
      <c r="A31" s="5" t="s">
        <v>118</v>
      </c>
      <c r="B31" s="158">
        <v>25000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15000</v>
      </c>
    </row>
    <row r="46" spans="1:48" customHeight="1" ht="30">
      <c r="A46" s="57" t="s">
        <v>132</v>
      </c>
      <c r="B46" s="161">
        <v>4000</v>
      </c>
    </row>
    <row r="47" spans="1:48" customHeight="1" ht="30">
      <c r="A47" s="57" t="s">
        <v>133</v>
      </c>
      <c r="B47" s="161">
        <v>550000</v>
      </c>
    </row>
    <row r="48" spans="1:48" customHeight="1" ht="30">
      <c r="A48" s="57" t="s">
        <v>134</v>
      </c>
      <c r="B48" s="161">
        <v>2000000</v>
      </c>
    </row>
    <row r="49" spans="1:48" customHeight="1" ht="30">
      <c r="A49" s="57" t="s">
        <v>135</v>
      </c>
      <c r="B49" s="161">
        <v>1200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2600</v>
      </c>
      <c r="B56" s="159">
        <v>0</v>
      </c>
      <c r="C56" s="162" t="s">
        <v>144</v>
      </c>
      <c r="D56" s="163" t="s">
        <v>145</v>
      </c>
      <c r="E56" s="163" t="s">
        <v>93</v>
      </c>
      <c r="F56" s="163" t="s">
        <v>146</v>
      </c>
    </row>
    <row r="57" spans="1:48">
      <c r="A57" s="157">
        <v>450</v>
      </c>
      <c r="B57" s="157">
        <v>0</v>
      </c>
      <c r="C57" s="164" t="s">
        <v>147</v>
      </c>
      <c r="D57" s="165" t="s">
        <v>145</v>
      </c>
      <c r="E57" s="165" t="s">
        <v>93</v>
      </c>
      <c r="F57" s="165" t="s">
        <v>148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150</v>
      </c>
      <c r="C65" s="10" t="s">
        <v>151</v>
      </c>
    </row>
    <row r="66" spans="1:48">
      <c r="A66" s="142" t="s">
        <v>152</v>
      </c>
      <c r="B66" s="159">
        <v>14310</v>
      </c>
      <c r="C66" s="163">
        <v>14280</v>
      </c>
      <c r="D66" s="49">
        <f>INDEX(Parameters!$D$79:$D$90,MATCH(Inputs!A66,Parameters!$C$79:$C$90,0))</f>
        <v>11</v>
      </c>
    </row>
    <row r="67" spans="1:48">
      <c r="A67" s="143" t="s">
        <v>153</v>
      </c>
      <c r="B67" s="157">
        <v>234260</v>
      </c>
      <c r="C67" s="165">
        <v>2084486</v>
      </c>
      <c r="D67" s="49">
        <f>INDEX(Parameters!$D$79:$D$90,MATCH(Inputs!A67,Parameters!$C$79:$C$90,0))</f>
        <v>10</v>
      </c>
    </row>
    <row r="68" spans="1:48">
      <c r="A68" s="143" t="s">
        <v>154</v>
      </c>
      <c r="B68" s="157">
        <v>12270</v>
      </c>
      <c r="C68" s="165">
        <v>11223</v>
      </c>
      <c r="D68" s="49">
        <f>INDEX(Parameters!$D$79:$D$90,MATCH(Inputs!A68,Parameters!$C$79:$C$90,0))</f>
        <v>9</v>
      </c>
    </row>
    <row r="69" spans="1:48">
      <c r="A69" s="143" t="s">
        <v>155</v>
      </c>
      <c r="B69" s="157">
        <v>3000</v>
      </c>
      <c r="C69" s="165">
        <v>2459</v>
      </c>
      <c r="D69" s="49">
        <f>INDEX(Parameters!$D$79:$D$90,MATCH(Inputs!A69,Parameters!$C$79:$C$90,0))</f>
        <v>8</v>
      </c>
    </row>
    <row r="70" spans="1:48">
      <c r="A70" s="143" t="s">
        <v>156</v>
      </c>
      <c r="B70" s="157">
        <v>20770</v>
      </c>
      <c r="C70" s="165">
        <v>20630</v>
      </c>
      <c r="D70" s="49">
        <f>INDEX(Parameters!$D$79:$D$90,MATCH(Inputs!A70,Parameters!$C$79:$C$90,0))</f>
        <v>7</v>
      </c>
    </row>
    <row r="71" spans="1:48">
      <c r="A71" s="144" t="s">
        <v>157</v>
      </c>
      <c r="B71" s="158">
        <v>15780</v>
      </c>
      <c r="C71" s="167">
        <v>14530</v>
      </c>
      <c r="D71" s="49">
        <f>INDEX(Parameters!$D$79:$D$90,MATCH(Inputs!A71,Parameters!$C$79:$C$90,0))</f>
        <v>6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311707.8064409501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7000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40</v>
      </c>
      <c r="E16" s="16">
        <f>Inputs!D21</f>
        <v>40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75000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8000</v>
      </c>
      <c r="S16" s="64">
        <f>IFERROR(D16*INDEX(Parameters!$A$22:$P$29,MATCH(Calculations!$A16,Parameters!$A$22:$A$29,0),MATCH(Parameters!$N$22,Parameters!$A$22:$P$22,0)),"")</f>
        <v>12000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150000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2600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450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43098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163</v>
      </c>
      <c r="G33" s="128">
        <f>IF(Inputs!B79="","",DATE(YEAR(Inputs!B79),MONTH(Inputs!B79),DAY(Inputs!B79)))</f>
        <v>43068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43098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43218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315</v>
      </c>
      <c r="H52" s="12" t="s">
        <v>129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109</v>
      </c>
      <c r="H77" s="12" t="s">
        <v>129</v>
      </c>
      <c r="I77" s="12" t="s">
        <v>351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316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169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