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<sst xmlns="http://schemas.openxmlformats.org/spreadsheetml/2006/main" uniqueCount="372">
  <si>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</si>
  <si>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</si>
  <si>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</si>
  <si>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</si>
  <si>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</si>
  <si>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</si>
  <si>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</si>
  <si>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</si>
  <si>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</si>
  <si>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</si>
  <si>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</si>
  <si>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</si>
  <si>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</si>
  <si>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</si>
  <si>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</si>
  <si>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</si>
  <si>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</si>
  <si>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</si>
  <si>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</si>
  <si>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</si>
  <si>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</si>
  <si>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</si>
  <si>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</si>
  <si>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</si>
  <si>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</si>
  <si>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</si>
  <si>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</si>
  <si>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</si>
  <si>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</si>
  <si>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</si>
  <si>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</si>
  <si>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</si>
  <si>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</si>
  <si>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</si>
  <si>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</si>
  <si>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</si>
  <si>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</si>
  <si>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</si>
  <si>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</si>
  <si>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</si>
  <si>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</si>
  <si>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</si>
  <si>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</si>
  <si>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</si>
  <si>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</si>
  <si>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</si>
  <si>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</si>
  <si>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</si>
  <si>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</si>
  <si>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</si>
  <si>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</si>
  <si>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</si>
  <si>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</si>
  <si>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</si>
  <si>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</si>
  <si>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</si>
  <si>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</si>
  <si>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</si>
  <si>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</si>
  <si>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</si>
  <si>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</si>
  <si>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</si>
  <si>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</si>
  <si>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</si>
  <si>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</si>
  <si>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</si>
  <si>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</si>
  <si>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</si>
  <si>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</si>
  <si>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</si>
  <si>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</si>
  <si>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</si>
  <si>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</si>
  <si>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</si>
  <si>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</si>
  <si>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</si>
  <si>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</si>
  <si>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</si>
  <si>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</si>
  <si>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</si>
  <si>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</si>
  <si>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</si>
  <si>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</si>
  <si>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</si>
  <si>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</si>
  <si>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</si>
  <si>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</si>
  <si>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</si>
  <si>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</si>
  <si>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</si>
  <si>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</si>
  <si>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</si>
  <si>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</si>
  <si>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</si>
  <si>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November</t>
  </si>
  <si>
    <t>Beans</t>
  </si>
  <si>
    <t>Cabbages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</si>
  <si>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</si>
  <si>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</si>
  <si>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</si>
  <si>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</si>
  <si>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</si>
  <si>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</si>
  <si>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</si>
  <si>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</si>
  <si>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</si>
  <si>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</si>
  <si>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</si>
  <si>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</si>
  <si>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</si>
  <si>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</si>
  <si>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</si>
  <si>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</si>
  <si>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</si>
  <si>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</si>
  <si>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</si>
  <si>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</si>
  <si>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Cereals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</si>
  <si>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</si>
  <si>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</si>
  <si>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</si>
  <si>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</si>
  <si>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</si>
  <si>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</si>
  <si>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</si>
  <si>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</si>
  <si>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</si>
  <si>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</si>
  <si>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</si>
  <si>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</si>
  <si>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</si>
  <si>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</si>
  <si>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</si>
  <si>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</si>
  <si>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</si>
  <si>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</si>
  <si>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</si>
  <si>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</si>
  <si>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</si>
  <si>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</si>
  <si>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</si>
  <si>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</si>
  <si>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</si>
  <si>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</si>
  <si>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</si>
  <si>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3/16/2016</t>
  </si>
  <si>
    <t xml:space="preserve">Mshwari </t>
  </si>
  <si>
    <t xml:space="preserve">Delinquency in payment </t>
  </si>
  <si>
    <t>8/21/2015</t>
  </si>
  <si>
    <t xml:space="preserve">Paid well. </t>
  </si>
  <si>
    <t>5/21/2017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</si>
  <si>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</si>
  <si>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</si>
  <si>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</si>
  <si>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</si>
  <si>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</si>
  <si>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</si>
  <si>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</si>
  <si>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</si>
  <si>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</si>
  <si>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</si>
  <si>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</si>
  <si>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2017/12/4</t>
  </si>
  <si>
    <t>Loan terms</t>
  </si>
  <si>
    <t>Expected disbursement date</t>
  </si>
  <si>
    <t>2017/12/13</t>
  </si>
  <si>
    <t>Expected first repayment date</t>
  </si>
  <si>
    <t>2018/1/19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</si>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</sst>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Cereals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0.2701120542178775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0.2816901408450704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991768.5972508029</v>
      </c>
    </row>
    <row r="18" spans="1:7">
      <c r="B18" s="1" t="s">
        <v>12</v>
      </c>
      <c r="C18" s="36">
        <f>MIN(Output!B6:M6)</f>
        <v>35169.24459717763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285153.784630752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26916.66666666667</v>
      </c>
    </row>
    <row r="25" spans="1:7">
      <c r="B25" s="1" t="s">
        <v>18</v>
      </c>
      <c r="C25" s="36">
        <f>MAX(Inputs!A56:A60)</f>
        <v>67750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35557.24459717763</v>
      </c>
      <c r="C6" s="51">
        <f>C30-C88</f>
        <v>37769.24459717763</v>
      </c>
      <c r="D6" s="51">
        <f>D30-D88</f>
        <v>35169.24459717763</v>
      </c>
      <c r="E6" s="51">
        <f>E30-E88</f>
        <v>285153.784630752</v>
      </c>
      <c r="F6" s="51">
        <f>F30-F88</f>
        <v>56242.32942745477</v>
      </c>
      <c r="G6" s="51">
        <f>G30-G88</f>
        <v>48595.45077566183</v>
      </c>
      <c r="H6" s="51">
        <f>H30-H88</f>
        <v>35557.24459717763</v>
      </c>
      <c r="I6" s="51">
        <f>I30-I88</f>
        <v>37769.24459717763</v>
      </c>
      <c r="J6" s="51">
        <f>J30-J88</f>
        <v>35169.24459717763</v>
      </c>
      <c r="K6" s="51">
        <f>K30-K88</f>
        <v>285153.784630752</v>
      </c>
      <c r="L6" s="51">
        <f>L30-L88</f>
        <v>56242.32942745477</v>
      </c>
      <c r="M6" s="51">
        <f>M30-M88</f>
        <v>43389.45077566183</v>
      </c>
      <c r="N6" s="51">
        <f>N30-N88</f>
        <v>35557.24459717763</v>
      </c>
      <c r="O6" s="51">
        <f>O30-O88</f>
        <v>37769.24459717763</v>
      </c>
      <c r="P6" s="51">
        <f>P30-P88</f>
        <v>35169.24459717763</v>
      </c>
      <c r="Q6" s="51">
        <f>Q30-Q88</f>
        <v>285153.784630752</v>
      </c>
      <c r="R6" s="51">
        <f>R30-R88</f>
        <v>56242.32942745477</v>
      </c>
      <c r="S6" s="51">
        <f>S30-S88</f>
        <v>48595.45077566183</v>
      </c>
      <c r="T6" s="51">
        <f>T30-T88</f>
        <v>35557.24459717763</v>
      </c>
      <c r="U6" s="51">
        <f>U30-U88</f>
        <v>37769.24459717763</v>
      </c>
      <c r="V6" s="51">
        <f>V30-V88</f>
        <v>35169.24459717763</v>
      </c>
      <c r="W6" s="51">
        <f>W30-W88</f>
        <v>285153.784630752</v>
      </c>
      <c r="X6" s="51">
        <f>X30-X88</f>
        <v>56242.32942745477</v>
      </c>
      <c r="Y6" s="51">
        <f>Y30-Y88</f>
        <v>43389.45077566183</v>
      </c>
      <c r="Z6" s="51">
        <f>SUMIF($B$13:$Y$13,"Yes",B6:Y6)</f>
        <v>1983537.194501606</v>
      </c>
      <c r="AA6" s="51">
        <f>AA30-AA88</f>
        <v>991768.5972508034</v>
      </c>
      <c r="AB6" s="51">
        <f>AB30-AB88</f>
        <v>1983537.194501609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-38721</v>
      </c>
      <c r="I7" s="80">
        <f>IF(ISERROR(VLOOKUP(MONTH(I5),Inputs!$D$66:$D$71,1,0)),"",INDEX(Inputs!$B$66:$B$71,MATCH(MONTH(Output!I5),Inputs!$D$66:$D$71,0))-INDEX(Inputs!$C$66:$C$71,MATCH(MONTH(Output!I5),Inputs!$D$66:$D$71,0)))</f>
        <v>-25744</v>
      </c>
      <c r="J7" s="80">
        <f>IF(ISERROR(VLOOKUP(MONTH(J5),Inputs!$D$66:$D$71,1,0)),"",INDEX(Inputs!$B$66:$B$71,MATCH(MONTH(Output!J5),Inputs!$D$66:$D$71,0))-INDEX(Inputs!$C$66:$C$71,MATCH(MONTH(Output!J5),Inputs!$D$66:$D$71,0)))</f>
        <v>5362</v>
      </c>
      <c r="K7" s="80">
        <f>IF(ISERROR(VLOOKUP(MONTH(K5),Inputs!$D$66:$D$71,1,0)),"",INDEX(Inputs!$B$66:$B$71,MATCH(MONTH(Output!K5),Inputs!$D$66:$D$71,0))-INDEX(Inputs!$C$66:$C$71,MATCH(MONTH(Output!K5),Inputs!$D$66:$D$71,0)))</f>
        <v>-2231</v>
      </c>
      <c r="L7" s="80">
        <f>IF(ISERROR(VLOOKUP(MONTH(L5),Inputs!$D$66:$D$71,1,0)),"",INDEX(Inputs!$B$66:$B$71,MATCH(MONTH(Output!L5),Inputs!$D$66:$D$71,0))-INDEX(Inputs!$C$66:$C$71,MATCH(MONTH(Output!L5),Inputs!$D$66:$D$71,0)))</f>
        <v>2607</v>
      </c>
      <c r="M7" s="80">
        <f>IF(ISERROR(VLOOKUP(MONTH(M5),Inputs!$D$66:$D$71,1,0)),"",INDEX(Inputs!$B$66:$B$71,MATCH(MONTH(Output!M5),Inputs!$D$66:$D$71,0))-INDEX(Inputs!$C$66:$C$71,MATCH(MONTH(Output!M5),Inputs!$D$66:$D$71,0)))</f>
        <v>-2007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-38721</v>
      </c>
      <c r="U7" s="80">
        <f>IF(ISERROR(VLOOKUP(MONTH(U5),Inputs!$D$66:$D$71,1,0)),"",INDEX(Inputs!$B$66:$B$71,MATCH(MONTH(Output!U5),Inputs!$D$66:$D$71,0))-INDEX(Inputs!$C$66:$C$71,MATCH(MONTH(Output!U5),Inputs!$D$66:$D$71,0)))</f>
        <v>-25744</v>
      </c>
      <c r="V7" s="80">
        <f>IF(ISERROR(VLOOKUP(MONTH(V5),Inputs!$D$66:$D$71,1,0)),"",INDEX(Inputs!$B$66:$B$71,MATCH(MONTH(Output!V5),Inputs!$D$66:$D$71,0))-INDEX(Inputs!$C$66:$C$71,MATCH(MONTH(Output!V5),Inputs!$D$66:$D$71,0)))</f>
        <v>5362</v>
      </c>
      <c r="W7" s="80">
        <f>IF(ISERROR(VLOOKUP(MONTH(W5),Inputs!$D$66:$D$71,1,0)),"",INDEX(Inputs!$B$66:$B$71,MATCH(MONTH(Output!W5),Inputs!$D$66:$D$71,0))-INDEX(Inputs!$C$66:$C$71,MATCH(MONTH(Output!W5),Inputs!$D$66:$D$71,0)))</f>
        <v>-2231</v>
      </c>
      <c r="X7" s="80">
        <f>IF(ISERROR(VLOOKUP(MONTH(X5),Inputs!$D$66:$D$71,1,0)),"",INDEX(Inputs!$B$66:$B$71,MATCH(MONTH(Output!X5),Inputs!$D$66:$D$71,0))-INDEX(Inputs!$C$66:$C$71,MATCH(MONTH(Output!X5),Inputs!$D$66:$D$71,0)))</f>
        <v>2607</v>
      </c>
      <c r="Y7" s="80">
        <f>IF(ISERROR(VLOOKUP(MONTH(Y5),Inputs!$D$66:$D$71,1,0)),"",INDEX(Inputs!$B$66:$B$71,MATCH(MONTH(Output!Y5),Inputs!$D$66:$D$71,0))-INDEX(Inputs!$C$66:$C$71,MATCH(MONTH(Output!Y5),Inputs!$D$66:$D$71,0)))</f>
        <v>-2007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535557.2445971776</v>
      </c>
      <c r="C11" s="80">
        <f>C6+C9-C10</f>
        <v>8602.577930510968</v>
      </c>
      <c r="D11" s="80">
        <f>D6+D9-D10</f>
        <v>6002.577930510968</v>
      </c>
      <c r="E11" s="80">
        <f>E6+E9-E10</f>
        <v>255987.1179640853</v>
      </c>
      <c r="F11" s="80">
        <f>F6+F9-F10</f>
        <v>27075.6627607881</v>
      </c>
      <c r="G11" s="80">
        <f>G6+G9-G10</f>
        <v>19428.78410899516</v>
      </c>
      <c r="H11" s="80">
        <f>H6+H9-H10</f>
        <v>6390.577930510968</v>
      </c>
      <c r="I11" s="80">
        <f>I6+I9-I10</f>
        <v>8602.577930510968</v>
      </c>
      <c r="J11" s="80">
        <f>J6+J9-J10</f>
        <v>6002.577930510968</v>
      </c>
      <c r="K11" s="80">
        <f>K6+K9-K10</f>
        <v>255987.1179640853</v>
      </c>
      <c r="L11" s="80">
        <f>L6+L9-L10</f>
        <v>27075.6627607881</v>
      </c>
      <c r="M11" s="80">
        <f>M6+M9-M10</f>
        <v>14222.78410899516</v>
      </c>
      <c r="N11" s="80">
        <f>N6+N9-N10</f>
        <v>6390.577930510968</v>
      </c>
      <c r="O11" s="80">
        <f>O6+O9-O10</f>
        <v>8602.577930510968</v>
      </c>
      <c r="P11" s="80">
        <f>P6+P9-P10</f>
        <v>6002.577930510968</v>
      </c>
      <c r="Q11" s="80">
        <f>Q6+Q9-Q10</f>
        <v>255987.1179640853</v>
      </c>
      <c r="R11" s="80">
        <f>R6+R9-R10</f>
        <v>27075.6627607881</v>
      </c>
      <c r="S11" s="80">
        <f>S6+S9-S10</f>
        <v>19428.78410899516</v>
      </c>
      <c r="T11" s="80">
        <f>T6+T9-T10</f>
        <v>6390.577930510968</v>
      </c>
      <c r="U11" s="80">
        <f>U6+U9-U10</f>
        <v>8602.577930510968</v>
      </c>
      <c r="V11" s="80">
        <f>V6+V9-V10</f>
        <v>6002.577930510968</v>
      </c>
      <c r="W11" s="80">
        <f>W6+W9-W10</f>
        <v>255987.1179640853</v>
      </c>
      <c r="X11" s="80">
        <f>X6+X9-X10</f>
        <v>27075.6627607881</v>
      </c>
      <c r="Y11" s="80">
        <f>Y6+Y9-Y10</f>
        <v>14222.78410899516</v>
      </c>
      <c r="Z11" s="85">
        <f>SUMIF($B$13:$Y$13,"Yes",B11:Y11)</f>
        <v>1812703.861168273</v>
      </c>
      <c r="AA11" s="80">
        <f>SUM(B11:M11)</f>
        <v>1170935.26391747</v>
      </c>
      <c r="AB11" s="46">
        <f>SUM(B11:Y11)</f>
        <v>1812703.861168273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0.05087270031365896</v>
      </c>
      <c r="D12" s="82">
        <f>IF(D13="Yes",IF(SUM($B$10:D10)/(SUM($B$6:D6)+SUM($B$9:D9))&lt;0,999.99,SUM($B$10:D10)/(SUM($B$6:D6)+SUM($B$9:D9))),"")</f>
        <v>0.0958648189196968</v>
      </c>
      <c r="E12" s="82">
        <f>IF(E13="Yes",IF(SUM($B$10:E10)/(SUM($B$6:E6)+SUM($B$9:E9))&lt;0,999.99,SUM($B$10:E10)/(SUM($B$6:E6)+SUM($B$9:E9))),"")</f>
        <v>0.09791310597299821</v>
      </c>
      <c r="F12" s="82">
        <f>IF(F13="Yes",IF(SUM($B$10:F10)/(SUM($B$6:F6)+SUM($B$9:F9))&lt;0,999.99,SUM($B$10:F10)/(SUM($B$6:F6)+SUM($B$9:F9))),"")</f>
        <v>0.1228210000230698</v>
      </c>
      <c r="G12" s="82">
        <f>IF(G13="Yes",IF(SUM($B$10:G10)/(SUM($B$6:G6)+SUM($B$9:G9))&lt;0,999.99,SUM($B$10:G10)/(SUM($B$6:G6)+SUM($B$9:G9))),"")</f>
        <v>0.1460542698280682</v>
      </c>
      <c r="H12" s="82">
        <f>IF(H13="Yes",IF(SUM($B$10:H10)/(SUM($B$6:H6)+SUM($B$9:H9))&lt;0,999.99,SUM($B$10:H10)/(SUM($B$6:H6)+SUM($B$9:H9))),"")</f>
        <v>0.1692383574257024</v>
      </c>
      <c r="I12" s="82">
        <f>IF(I13="Yes",IF(SUM($B$10:I10)/(SUM($B$6:I6)+SUM($B$9:I9))&lt;0,999.99,SUM($B$10:I10)/(SUM($B$6:I6)+SUM($B$9:I9))),"")</f>
        <v>0.1904870687304507</v>
      </c>
      <c r="J12" s="82">
        <f>IF(J13="Yes",IF(SUM($B$10:J10)/(SUM($B$6:J6)+SUM($B$9:J9))&lt;0,999.99,SUM($B$10:J10)/(SUM($B$6:J6)+SUM($B$9:J9))),"")</f>
        <v>0.2107831163625737</v>
      </c>
      <c r="K12" s="82">
        <f>IF(K13="Yes",IF(SUM($B$10:K10)/(SUM($B$6:K6)+SUM($B$9:K9))&lt;0,999.99,SUM($B$10:K10)/(SUM($B$6:K6)+SUM($B$9:K9))),"")</f>
        <v>0.1885590530941387</v>
      </c>
      <c r="L12" s="82">
        <f>IF(L13="Yes",IF(SUM($B$10:L10)/(SUM($B$6:L6)+SUM($B$9:L9))&lt;0,999.99,SUM($B$10:L10)/(SUM($B$6:L6)+SUM($B$9:L9))),"")</f>
        <v>0.2013745277791961</v>
      </c>
      <c r="M12" s="82">
        <f>IF(M13="Yes",IF(SUM($B$10:M10)/(SUM($B$6:M6)+SUM($B$9:M9))&lt;0,999.99,SUM($B$10:M10)/(SUM($B$6:M6)+SUM($B$9:M9))),"")</f>
        <v>0.2150691024898906</v>
      </c>
      <c r="N12" s="82">
        <f>IF(N13="Yes",IF(SUM($B$10:N10)/(SUM($B$6:N6)+SUM($B$9:N9))&lt;0,999.99,SUM($B$10:N10)/(SUM($B$6:N6)+SUM($B$9:N9))),"")</f>
        <v>0.2291586971228872</v>
      </c>
      <c r="O12" s="82">
        <f>IF(O13="Yes",IF(SUM($B$10:O10)/(SUM($B$6:O6)+SUM($B$9:O9))&lt;0,999.99,SUM($B$10:O10)/(SUM($B$6:O6)+SUM($B$9:O9))),"")</f>
        <v>0.2422643007127944</v>
      </c>
      <c r="P12" s="82">
        <f>IF(P13="Yes",IF(SUM($B$10:P10)/(SUM($B$6:P6)+SUM($B$9:P9))&lt;0,999.99,SUM($B$10:P10)/(SUM($B$6:P6)+SUM($B$9:P9))),"")</f>
        <v>0.2551661781196888</v>
      </c>
      <c r="Q12" s="82">
        <f>IF(Q13="Yes",IF(SUM($B$10:Q10)/(SUM($B$6:Q6)+SUM($B$9:Q9))&lt;0,999.99,SUM($B$10:Q10)/(SUM($B$6:Q6)+SUM($B$9:Q9))),"")</f>
        <v>0.2320440205613565</v>
      </c>
      <c r="R12" s="82">
        <f>IF(R13="Yes",IF(SUM($B$10:R10)/(SUM($B$6:R6)+SUM($B$9:R9))&lt;0,999.99,SUM($B$10:R10)/(SUM($B$6:R6)+SUM($B$9:R9))),"")</f>
        <v>0.2403441177597363</v>
      </c>
      <c r="S12" s="82">
        <f>IF(S13="Yes",IF(SUM($B$10:S10)/(SUM($B$6:S6)+SUM($B$9:S9))&lt;0,999.99,SUM($B$10:S10)/(SUM($B$6:S6)+SUM($B$9:S9))),"")</f>
        <v>0.2491304431559261</v>
      </c>
      <c r="T12" s="82">
        <f>IF(T13="Yes",IF(SUM($B$10:T10)/(SUM($B$6:T6)+SUM($B$9:T9))&lt;0,999.99,SUM($B$10:T10)/(SUM($B$6:T6)+SUM($B$9:T9))),"")</f>
        <v>0.2591551952700439</v>
      </c>
      <c r="U12" s="82">
        <f>IF(U13="Yes",IF(SUM($B$10:U10)/(SUM($B$6:U6)+SUM($B$9:U9))&lt;0,999.99,SUM($B$10:U10)/(SUM($B$6:U6)+SUM($B$9:U9))),"")</f>
        <v>0.2685459377226261</v>
      </c>
      <c r="V12" s="82">
        <f>IF(V13="Yes",IF(SUM($B$10:V10)/(SUM($B$6:V6)+SUM($B$9:V9))&lt;0,999.99,SUM($B$10:V10)/(SUM($B$6:V6)+SUM($B$9:V9))),"")</f>
        <v>0.2779430043495349</v>
      </c>
      <c r="W12" s="82">
        <f>IF(W13="Yes",IF(SUM($B$10:W10)/(SUM($B$6:W6)+SUM($B$9:W9))&lt;0,999.99,SUM($B$10:W10)/(SUM($B$6:W6)+SUM($B$9:W9))),"")</f>
        <v>0.2569313347443526</v>
      </c>
      <c r="X12" s="82">
        <f>IF(X13="Yes",IF(SUM($B$10:X10)/(SUM($B$6:X6)+SUM($B$9:X9))&lt;0,999.99,SUM($B$10:X10)/(SUM($B$6:X6)+SUM($B$9:X9))),"")</f>
        <v>0.2629622195281028</v>
      </c>
      <c r="Y12" s="82">
        <f>IF(Y13="Yes",IF(SUM($B$10:Y10)/(SUM($B$6:Y6)+SUM($B$9:Y9))&lt;0,999.99,SUM($B$10:Y10)/(SUM($B$6:Y6)+SUM($B$9:Y9))),"")</f>
        <v>0.2701120542178775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4631.21348207015</v>
      </c>
      <c r="F19" s="36">
        <f>R19</f>
        <v>5094.334830277166</v>
      </c>
      <c r="G19" s="36">
        <f>S19</f>
        <v>5557.45617848418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4631.21348207015</v>
      </c>
      <c r="L19" s="36">
        <f>X19</f>
        <v>5094.334830277166</v>
      </c>
      <c r="M19" s="36">
        <f>Y19</f>
        <v>5557.45617848418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4631.21348207015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5094.334830277166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5557.45617848418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4631.21348207015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5094.334830277166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5557.45617848418</v>
      </c>
      <c r="Z19" s="36">
        <f>SUMIF($B$13:$Y$13,"Yes",B19:Y19)</f>
        <v>61132.01796332597</v>
      </c>
      <c r="AA19" s="36">
        <f>SUM(B19:M19)</f>
        <v>30566.00898166299</v>
      </c>
      <c r="AB19" s="36">
        <f>SUM(B19:Y19)</f>
        <v>61132.01796332597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240002.0490800794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240002.0490800794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240002.0490800794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240002.0490800794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960008.1963203176</v>
      </c>
      <c r="AA20" s="36">
        <f>SUM(B20:M20)</f>
        <v>480004.0981601588</v>
      </c>
      <c r="AB20" s="36">
        <f>SUM(B20:Y20)</f>
        <v>960008.1963203176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6000000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281937.5</v>
      </c>
      <c r="C30" s="19">
        <f>SUM(C18:C29)</f>
        <v>281937.5</v>
      </c>
      <c r="D30" s="19">
        <f>SUM(D18:D29)</f>
        <v>281937.5</v>
      </c>
      <c r="E30" s="19">
        <f>SUM(E18:E29)</f>
        <v>526570.7625621496</v>
      </c>
      <c r="F30" s="19">
        <f>SUM(F18:F29)</f>
        <v>287031.8348302771</v>
      </c>
      <c r="G30" s="19">
        <f>SUM(G18:G29)</f>
        <v>287494.9561784842</v>
      </c>
      <c r="H30" s="19">
        <f>SUM(H18:H29)</f>
        <v>281937.5</v>
      </c>
      <c r="I30" s="19">
        <f>SUM(I18:I29)</f>
        <v>281937.5</v>
      </c>
      <c r="J30" s="19">
        <f>SUM(J18:J29)</f>
        <v>281937.5</v>
      </c>
      <c r="K30" s="19">
        <f>SUM(K18:K29)</f>
        <v>526570.7625621496</v>
      </c>
      <c r="L30" s="19">
        <f>SUM(L18:L29)</f>
        <v>287031.8348302771</v>
      </c>
      <c r="M30" s="19">
        <f>SUM(M18:M29)</f>
        <v>287494.9561784842</v>
      </c>
      <c r="N30" s="19">
        <f>SUM(N18:N29)</f>
        <v>281937.5</v>
      </c>
      <c r="O30" s="19">
        <f>SUM(O18:O29)</f>
        <v>281937.5</v>
      </c>
      <c r="P30" s="19">
        <f>SUM(P18:P29)</f>
        <v>281937.5</v>
      </c>
      <c r="Q30" s="19">
        <f>SUM(Q18:Q29)</f>
        <v>526570.7625621496</v>
      </c>
      <c r="R30" s="19">
        <f>SUM(R18:R29)</f>
        <v>287031.8348302771</v>
      </c>
      <c r="S30" s="19">
        <f>SUM(S18:S29)</f>
        <v>287494.9561784842</v>
      </c>
      <c r="T30" s="19">
        <f>SUM(T18:T29)</f>
        <v>281937.5</v>
      </c>
      <c r="U30" s="19">
        <f>SUM(U18:U29)</f>
        <v>281937.5</v>
      </c>
      <c r="V30" s="19">
        <f>SUM(V18:V29)</f>
        <v>281937.5</v>
      </c>
      <c r="W30" s="19">
        <f>SUM(W18:W29)</f>
        <v>526570.7625621496</v>
      </c>
      <c r="X30" s="19">
        <f>SUM(X18:X29)</f>
        <v>287031.8348302771</v>
      </c>
      <c r="Y30" s="19">
        <f>SUM(Y18:Y29)</f>
        <v>287494.9561784842</v>
      </c>
      <c r="Z30" s="19">
        <f>SUMIF($B$13:$Y$13,"Yes",B30:Y30)</f>
        <v>7787640.214283645</v>
      </c>
      <c r="AA30" s="19">
        <f>SUM(B30:M30)</f>
        <v>3893820.107141822</v>
      </c>
      <c r="AB30" s="19">
        <f>SUM(B30:Y30)</f>
        <v>7787640.214283645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6000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6000</v>
      </c>
      <c r="Z36" s="36">
        <f>SUMIF($B$13:$Y$13,"Yes",B36:Y36)</f>
        <v>32000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4000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4000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Cabbages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4000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4000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16000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1212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2500</v>
      </c>
      <c r="H42" s="36">
        <f>T42</f>
        <v>1212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3106</v>
      </c>
      <c r="N42" s="36">
        <f>SUM(N43:N47)</f>
        <v>1212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2500</v>
      </c>
      <c r="T42" s="36">
        <f>SUM(T43:T47)</f>
        <v>1212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3106</v>
      </c>
      <c r="Z42" s="36">
        <f>SUMIF($B$13:$Y$13,"Yes",B42:Y42)</f>
        <v>16060</v>
      </c>
      <c r="AA42" s="36">
        <f>SUM(B42:M42)</f>
        <v>8030</v>
      </c>
      <c r="AB42" s="36">
        <f>SUM(B42:Y42)</f>
        <v>16060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606.0000000000001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606.0000000000001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2500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2500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2500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2500</v>
      </c>
      <c r="Z44" s="36">
        <f>SUMIF($B$13:$Y$13,"Yes",B44:Y44)</f>
        <v>10000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Cabbages</v>
      </c>
      <c r="B45" s="36">
        <f>N45</f>
        <v>1212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1212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1212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1212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4848</v>
      </c>
      <c r="AA45" s="36">
        <f>SUM(B45:M45)</f>
        <v>2424</v>
      </c>
      <c r="AB45" s="36">
        <f>SUM(B45:Y45)</f>
        <v>4848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3000</v>
      </c>
      <c r="D48" s="36">
        <f>P48</f>
        <v>5600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3000</v>
      </c>
      <c r="J48" s="36">
        <f>V48</f>
        <v>5600</v>
      </c>
      <c r="K48" s="36">
        <f>W48</f>
        <v>0</v>
      </c>
      <c r="L48" s="36">
        <f>X48</f>
        <v>0</v>
      </c>
      <c r="M48" s="36">
        <f>Y48</f>
        <v>600</v>
      </c>
      <c r="N48" s="46">
        <f>SUM(N49:N53)</f>
        <v>0</v>
      </c>
      <c r="O48" s="46">
        <f>SUM(O49:O53)</f>
        <v>3000</v>
      </c>
      <c r="P48" s="46">
        <f>SUM(P49:P53)</f>
        <v>5600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3000</v>
      </c>
      <c r="V48" s="46">
        <f>SUM(V49:V53)</f>
        <v>5600</v>
      </c>
      <c r="W48" s="46">
        <f>SUM(W49:W53)</f>
        <v>0</v>
      </c>
      <c r="X48" s="46">
        <f>SUM(X49:X53)</f>
        <v>0</v>
      </c>
      <c r="Y48" s="46">
        <f>SUM(Y49:Y53)</f>
        <v>600</v>
      </c>
      <c r="Z48" s="46">
        <f>SUMIF($B$13:$Y$13,"Yes",B48:Y48)</f>
        <v>35600</v>
      </c>
      <c r="AA48" s="46">
        <f>SUM(B48:M48)</f>
        <v>17800</v>
      </c>
      <c r="AB48" s="46">
        <f>SUM(B48:Y48)</f>
        <v>35600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600</v>
      </c>
      <c r="Z49" s="46">
        <f>SUMIF($B$13:$Y$13,"Yes",B49:Y49)</f>
        <v>1200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3000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3000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3000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3000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5600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5600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5600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5600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22400</v>
      </c>
      <c r="AA51" s="46">
        <f>SUM(B51:M51)</f>
        <v>11200</v>
      </c>
      <c r="AB51" s="46">
        <f>SUM(B51:Y51)</f>
        <v>22400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248.7225285751961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248.7225285751961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248.7225285751961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248.7225285751961</v>
      </c>
      <c r="X54" s="46">
        <f>SUM(X55:X59)</f>
        <v>0</v>
      </c>
      <c r="Y54" s="46">
        <f>SUM(Y55:Y59)</f>
        <v>0</v>
      </c>
      <c r="Z54" s="46">
        <f>SUMIF($B$13:$Y$13,"Yes",B54:Y54)</f>
        <v>994.8901143007844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248.7225285751961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248.7225285751961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248.7225285751961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248.7225285751961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994.8901143007844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32038.75</v>
      </c>
      <c r="C66" s="36">
        <f>O66</f>
        <v>32038.75</v>
      </c>
      <c r="D66" s="36">
        <f>P66</f>
        <v>32038.75</v>
      </c>
      <c r="E66" s="36">
        <f>Q66</f>
        <v>32038.75</v>
      </c>
      <c r="F66" s="36">
        <f>R66</f>
        <v>21660</v>
      </c>
      <c r="G66" s="36">
        <f>S66</f>
        <v>25270</v>
      </c>
      <c r="H66" s="36">
        <f>T66</f>
        <v>32038.75</v>
      </c>
      <c r="I66" s="36">
        <f>U66</f>
        <v>32038.75</v>
      </c>
      <c r="J66" s="36">
        <f>V66</f>
        <v>32038.75</v>
      </c>
      <c r="K66" s="36">
        <f>W66</f>
        <v>32038.75</v>
      </c>
      <c r="L66" s="36">
        <f>X66</f>
        <v>21660</v>
      </c>
      <c r="M66" s="36">
        <f>Y66</f>
        <v>25270</v>
      </c>
      <c r="N66" s="46">
        <f>SUM(N67:N71)</f>
        <v>32038.75</v>
      </c>
      <c r="O66" s="46">
        <f>SUM(O67:O71)</f>
        <v>32038.75</v>
      </c>
      <c r="P66" s="46">
        <f>SUM(P67:P71)</f>
        <v>32038.75</v>
      </c>
      <c r="Q66" s="46">
        <f>SUM(Q67:Q71)</f>
        <v>32038.75</v>
      </c>
      <c r="R66" s="46">
        <f>SUM(R67:R71)</f>
        <v>21660</v>
      </c>
      <c r="S66" s="46">
        <f>SUM(S67:S71)</f>
        <v>25270</v>
      </c>
      <c r="T66" s="46">
        <f>SUM(T67:T71)</f>
        <v>32038.75</v>
      </c>
      <c r="U66" s="46">
        <f>SUM(U67:U71)</f>
        <v>32038.75</v>
      </c>
      <c r="V66" s="46">
        <f>SUM(V67:V71)</f>
        <v>32038.75</v>
      </c>
      <c r="W66" s="46">
        <f>SUM(W67:W71)</f>
        <v>32038.75</v>
      </c>
      <c r="X66" s="46">
        <f>SUM(X67:X71)</f>
        <v>21660</v>
      </c>
      <c r="Y66" s="46">
        <f>SUM(Y67:Y71)</f>
        <v>25270</v>
      </c>
      <c r="Z66" s="46">
        <f>SUMIF($B$13:$Y$13,"Yes",B66:Y66)</f>
        <v>700340</v>
      </c>
      <c r="AA66" s="46">
        <f>SUM(B66:M66)</f>
        <v>350170</v>
      </c>
      <c r="AB66" s="46">
        <f>SUM(B66:Y66)</f>
        <v>700340</v>
      </c>
    </row>
    <row r="67" spans="1:30" hidden="true" outlineLevel="1">
      <c r="A67" s="181" t="str">
        <f>Calculations!$A$4</f>
        <v>Maize</v>
      </c>
      <c r="B67" s="36">
        <f>N67</f>
        <v>21660</v>
      </c>
      <c r="C67" s="36">
        <f>O67</f>
        <v>21660</v>
      </c>
      <c r="D67" s="36">
        <f>P67</f>
        <v>21660</v>
      </c>
      <c r="E67" s="36">
        <f>Q67</f>
        <v>21660</v>
      </c>
      <c r="F67" s="36">
        <f>R67</f>
        <v>21660</v>
      </c>
      <c r="G67" s="36">
        <f>S67</f>
        <v>21660</v>
      </c>
      <c r="H67" s="36">
        <f>T67</f>
        <v>21660</v>
      </c>
      <c r="I67" s="36">
        <f>U67</f>
        <v>21660</v>
      </c>
      <c r="J67" s="36">
        <f>V67</f>
        <v>21660</v>
      </c>
      <c r="K67" s="36">
        <f>W67</f>
        <v>21660</v>
      </c>
      <c r="L67" s="36">
        <f>X67</f>
        <v>21660</v>
      </c>
      <c r="M67" s="36">
        <f>Y67</f>
        <v>21660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21660</v>
      </c>
      <c r="Z67" s="46">
        <f>SUMIF($B$13:$Y$13,"Yes",B67:Y67)</f>
        <v>519840</v>
      </c>
      <c r="AA67" s="46">
        <f>SUM(B67:M67)</f>
        <v>259920</v>
      </c>
      <c r="AB67" s="46">
        <f>SUM(B67:Y67)</f>
        <v>519840</v>
      </c>
    </row>
    <row r="68" spans="1:30" hidden="true" outlineLevel="1">
      <c r="A68" s="181" t="str">
        <f>Calculations!$A$5</f>
        <v>Beans</v>
      </c>
      <c r="B68" s="36">
        <f>N68</f>
        <v>3610</v>
      </c>
      <c r="C68" s="36">
        <f>O68</f>
        <v>3610</v>
      </c>
      <c r="D68" s="36">
        <f>P68</f>
        <v>3610</v>
      </c>
      <c r="E68" s="36">
        <f>Q68</f>
        <v>3610</v>
      </c>
      <c r="F68" s="36">
        <f>R68</f>
        <v>0</v>
      </c>
      <c r="G68" s="36">
        <f>S68</f>
        <v>3610</v>
      </c>
      <c r="H68" s="36">
        <f>T68</f>
        <v>3610</v>
      </c>
      <c r="I68" s="36">
        <f>U68</f>
        <v>3610</v>
      </c>
      <c r="J68" s="36">
        <f>V68</f>
        <v>3610</v>
      </c>
      <c r="K68" s="36">
        <f>W68</f>
        <v>3610</v>
      </c>
      <c r="L68" s="36">
        <f>X68</f>
        <v>0</v>
      </c>
      <c r="M68" s="36">
        <f>Y68</f>
        <v>3610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3610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3610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3610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3610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3610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3610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3610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3610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3610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3610</v>
      </c>
      <c r="Z68" s="46">
        <f>SUMIF($B$13:$Y$13,"Yes",B68:Y68)</f>
        <v>72200</v>
      </c>
      <c r="AA68" s="46">
        <f>SUM(B68:M68)</f>
        <v>36100</v>
      </c>
      <c r="AB68" s="46">
        <f>SUM(B68:Y68)</f>
        <v>72200</v>
      </c>
    </row>
    <row r="69" spans="1:30" hidden="true" outlineLevel="1">
      <c r="A69" s="181" t="str">
        <f>Calculations!$A$6</f>
        <v>Cabbages</v>
      </c>
      <c r="B69" s="36">
        <f>N69</f>
        <v>6768.75</v>
      </c>
      <c r="C69" s="36">
        <f>O69</f>
        <v>6768.75</v>
      </c>
      <c r="D69" s="36">
        <f>P69</f>
        <v>6768.75</v>
      </c>
      <c r="E69" s="36">
        <f>Q69</f>
        <v>6768.75</v>
      </c>
      <c r="F69" s="36">
        <f>R69</f>
        <v>0</v>
      </c>
      <c r="G69" s="36">
        <f>S69</f>
        <v>0</v>
      </c>
      <c r="H69" s="36">
        <f>T69</f>
        <v>6768.75</v>
      </c>
      <c r="I69" s="36">
        <f>U69</f>
        <v>6768.75</v>
      </c>
      <c r="J69" s="36">
        <f>V69</f>
        <v>6768.75</v>
      </c>
      <c r="K69" s="36">
        <f>W69</f>
        <v>6768.75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6768.75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6768.75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6768.75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6768.75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6768.75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6768.75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6768.75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6768.75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108300</v>
      </c>
      <c r="AA69" s="46">
        <f>SUM(B69:M69)</f>
        <v>54150</v>
      </c>
      <c r="AB69" s="46">
        <f>SUM(B69:Y69)</f>
        <v>108300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3600000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55098.25540282237</v>
      </c>
      <c r="C81" s="46">
        <f>(SUM($AA$18:$AA$29)-SUM($AA$36,$AA$42,$AA$48,$AA$54,$AA$60,$AA$66,$AA$72:$AA$79))*Parameters!$B$37/12</f>
        <v>55098.25540282237</v>
      </c>
      <c r="D81" s="46">
        <f>(SUM($AA$18:$AA$29)-SUM($AA$36,$AA$42,$AA$48,$AA$54,$AA$60,$AA$66,$AA$72:$AA$79))*Parameters!$B$37/12</f>
        <v>55098.25540282237</v>
      </c>
      <c r="E81" s="46">
        <f>(SUM($AA$18:$AA$29)-SUM($AA$36,$AA$42,$AA$48,$AA$54,$AA$60,$AA$66,$AA$72:$AA$79))*Parameters!$B$37/12</f>
        <v>55098.25540282237</v>
      </c>
      <c r="F81" s="46">
        <f>(SUM($AA$18:$AA$29)-SUM($AA$36,$AA$42,$AA$48,$AA$54,$AA$60,$AA$66,$AA$72:$AA$79))*Parameters!$B$37/12</f>
        <v>55098.25540282237</v>
      </c>
      <c r="G81" s="46">
        <f>(SUM($AA$18:$AA$29)-SUM($AA$36,$AA$42,$AA$48,$AA$54,$AA$60,$AA$66,$AA$72:$AA$79))*Parameters!$B$37/12</f>
        <v>55098.25540282237</v>
      </c>
      <c r="H81" s="46">
        <f>(SUM($AA$18:$AA$29)-SUM($AA$36,$AA$42,$AA$48,$AA$54,$AA$60,$AA$66,$AA$72:$AA$79))*Parameters!$B$37/12</f>
        <v>55098.25540282237</v>
      </c>
      <c r="I81" s="46">
        <f>(SUM($AA$18:$AA$29)-SUM($AA$36,$AA$42,$AA$48,$AA$54,$AA$60,$AA$66,$AA$72:$AA$79))*Parameters!$B$37/12</f>
        <v>55098.25540282237</v>
      </c>
      <c r="J81" s="46">
        <f>(SUM($AA$18:$AA$29)-SUM($AA$36,$AA$42,$AA$48,$AA$54,$AA$60,$AA$66,$AA$72:$AA$79))*Parameters!$B$37/12</f>
        <v>55098.25540282237</v>
      </c>
      <c r="K81" s="46">
        <f>(SUM($AA$18:$AA$29)-SUM($AA$36,$AA$42,$AA$48,$AA$54,$AA$60,$AA$66,$AA$72:$AA$79))*Parameters!$B$37/12</f>
        <v>55098.25540282237</v>
      </c>
      <c r="L81" s="46">
        <f>(SUM($AA$18:$AA$29)-SUM($AA$36,$AA$42,$AA$48,$AA$54,$AA$60,$AA$66,$AA$72:$AA$79))*Parameters!$B$37/12</f>
        <v>55098.25540282237</v>
      </c>
      <c r="M81" s="46">
        <f>(SUM($AA$18:$AA$29)-SUM($AA$36,$AA$42,$AA$48,$AA$54,$AA$60,$AA$66,$AA$72:$AA$79))*Parameters!$B$37/12</f>
        <v>55098.25540282237</v>
      </c>
      <c r="N81" s="46">
        <f>(SUM($AA$18:$AA$29)-SUM($AA$36,$AA$42,$AA$48,$AA$54,$AA$60,$AA$66,$AA$72:$AA$79))*Parameters!$B$37/12</f>
        <v>55098.25540282237</v>
      </c>
      <c r="O81" s="46">
        <f>(SUM($AA$18:$AA$29)-SUM($AA$36,$AA$42,$AA$48,$AA$54,$AA$60,$AA$66,$AA$72:$AA$79))*Parameters!$B$37/12</f>
        <v>55098.25540282237</v>
      </c>
      <c r="P81" s="46">
        <f>(SUM($AA$18:$AA$29)-SUM($AA$36,$AA$42,$AA$48,$AA$54,$AA$60,$AA$66,$AA$72:$AA$79))*Parameters!$B$37/12</f>
        <v>55098.25540282237</v>
      </c>
      <c r="Q81" s="46">
        <f>(SUM($AA$18:$AA$29)-SUM($AA$36,$AA$42,$AA$48,$AA$54,$AA$60,$AA$66,$AA$72:$AA$79))*Parameters!$B$37/12</f>
        <v>55098.25540282237</v>
      </c>
      <c r="R81" s="46">
        <f>(SUM($AA$18:$AA$29)-SUM($AA$36,$AA$42,$AA$48,$AA$54,$AA$60,$AA$66,$AA$72:$AA$79))*Parameters!$B$37/12</f>
        <v>55098.25540282237</v>
      </c>
      <c r="S81" s="46">
        <f>(SUM($AA$18:$AA$29)-SUM($AA$36,$AA$42,$AA$48,$AA$54,$AA$60,$AA$66,$AA$72:$AA$79))*Parameters!$B$37/12</f>
        <v>55098.25540282237</v>
      </c>
      <c r="T81" s="46">
        <f>(SUM($AA$18:$AA$29)-SUM($AA$36,$AA$42,$AA$48,$AA$54,$AA$60,$AA$66,$AA$72:$AA$79))*Parameters!$B$37/12</f>
        <v>55098.25540282237</v>
      </c>
      <c r="U81" s="46">
        <f>(SUM($AA$18:$AA$29)-SUM($AA$36,$AA$42,$AA$48,$AA$54,$AA$60,$AA$66,$AA$72:$AA$79))*Parameters!$B$37/12</f>
        <v>55098.25540282237</v>
      </c>
      <c r="V81" s="46">
        <f>(SUM($AA$18:$AA$29)-SUM($AA$36,$AA$42,$AA$48,$AA$54,$AA$60,$AA$66,$AA$72:$AA$79))*Parameters!$B$37/12</f>
        <v>55098.25540282237</v>
      </c>
      <c r="W81" s="46">
        <f>(SUM($AA$18:$AA$29)-SUM($AA$36,$AA$42,$AA$48,$AA$54,$AA$60,$AA$66,$AA$72:$AA$79))*Parameters!$B$37/12</f>
        <v>55098.25540282237</v>
      </c>
      <c r="X81" s="46">
        <f>(SUM($AA$18:$AA$29)-SUM($AA$36,$AA$42,$AA$48,$AA$54,$AA$60,$AA$66,$AA$72:$AA$79))*Parameters!$B$37/12</f>
        <v>55098.25540282237</v>
      </c>
      <c r="Y81" s="46">
        <f>(SUM($AA$18:$AA$29)-SUM($AA$36,$AA$42,$AA$48,$AA$54,$AA$60,$AA$66,$AA$72:$AA$79))*Parameters!$B$37/12</f>
        <v>55098.25540282237</v>
      </c>
      <c r="Z81" s="46">
        <f>SUMIF($B$13:$Y$13,"Yes",B81:Y81)</f>
        <v>1322358.129667737</v>
      </c>
      <c r="AA81" s="46">
        <f>SUM(B81:M81)</f>
        <v>661179.0648338686</v>
      </c>
      <c r="AB81" s="46">
        <f>SUM(B81:Y81)</f>
        <v>1322358.129667737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246380.2554028224</v>
      </c>
      <c r="C88" s="19">
        <f>SUM(C72:C82,C66,C60,C54,C48,C42,C36)</f>
        <v>244168.2554028224</v>
      </c>
      <c r="D88" s="19">
        <f>SUM(D72:D82,D66,D60,D54,D48,D42,D36)</f>
        <v>246768.2554028224</v>
      </c>
      <c r="E88" s="19">
        <f>SUM(E72:E82,E66,E60,E54,E48,E42,E36)</f>
        <v>241416.9779313976</v>
      </c>
      <c r="F88" s="19">
        <f>SUM(F72:F82,F66,F60,F54,F48,F42,F36)</f>
        <v>230789.5054028224</v>
      </c>
      <c r="G88" s="19">
        <f>SUM(G72:G82,G66,G60,G54,G48,G42,G36)</f>
        <v>238899.5054028224</v>
      </c>
      <c r="H88" s="19">
        <f>SUM(H72:H82,H66,H60,H54,H48,H42,H36)</f>
        <v>246380.2554028224</v>
      </c>
      <c r="I88" s="19">
        <f>SUM(I72:I82,I66,I60,I54,I48,I42,I36)</f>
        <v>244168.2554028224</v>
      </c>
      <c r="J88" s="19">
        <f>SUM(J72:J82,J66,J60,J54,J48,J42,J36)</f>
        <v>246768.2554028224</v>
      </c>
      <c r="K88" s="19">
        <f>SUM(K72:K82,K66,K60,K54,K48,K42,K36)</f>
        <v>241416.9779313976</v>
      </c>
      <c r="L88" s="19">
        <f>SUM(L72:L82,L66,L60,L54,L48,L42,L36)</f>
        <v>230789.5054028224</v>
      </c>
      <c r="M88" s="19">
        <f>SUM(M72:M82,M66,M60,M54,M48,M42,M36)</f>
        <v>244105.5054028224</v>
      </c>
      <c r="N88" s="19">
        <f>SUM(N72:N82,N66,N60,N54,N48,N42,N36)</f>
        <v>246380.2554028224</v>
      </c>
      <c r="O88" s="19">
        <f>SUM(O72:O82,O66,O60,O54,O48,O42,O36)</f>
        <v>244168.2554028224</v>
      </c>
      <c r="P88" s="19">
        <f>SUM(P72:P82,P66,P60,P54,P48,P42,P36)</f>
        <v>246768.2554028224</v>
      </c>
      <c r="Q88" s="19">
        <f>SUM(Q72:Q82,Q66,Q60,Q54,Q48,Q42,Q36)</f>
        <v>241416.9779313976</v>
      </c>
      <c r="R88" s="19">
        <f>SUM(R72:R82,R66,R60,R54,R48,R42,R36)</f>
        <v>230789.5054028224</v>
      </c>
      <c r="S88" s="19">
        <f>SUM(S72:S82,S66,S60,S54,S48,S42,S36)</f>
        <v>238899.5054028224</v>
      </c>
      <c r="T88" s="19">
        <f>SUM(T72:T82,T66,T60,T54,T48,T42,T36)</f>
        <v>246380.2554028224</v>
      </c>
      <c r="U88" s="19">
        <f>SUM(U72:U82,U66,U60,U54,U48,U42,U36)</f>
        <v>244168.2554028224</v>
      </c>
      <c r="V88" s="19">
        <f>SUM(V72:V82,V66,V60,V54,V48,V42,V36)</f>
        <v>246768.2554028224</v>
      </c>
      <c r="W88" s="19">
        <f>SUM(W72:W82,W66,W60,W54,W48,W42,W36)</f>
        <v>241416.9779313976</v>
      </c>
      <c r="X88" s="19">
        <f>SUM(X72:X82,X66,X60,X54,X48,X42,X36)</f>
        <v>230789.5054028224</v>
      </c>
      <c r="Y88" s="19">
        <f>SUM(Y72:Y82,Y66,Y60,Y54,Y48,Y42,Y36)</f>
        <v>244105.5054028224</v>
      </c>
      <c r="Z88" s="19">
        <f>SUMIF($B$13:$Y$13,"Yes",B88:Y88)</f>
        <v>5804103.019782037</v>
      </c>
      <c r="AA88" s="19">
        <f>SUM(B88:M88)</f>
        <v>2902051.509891019</v>
      </c>
      <c r="AB88" s="19">
        <f>SUM(B88:Y88)</f>
        <v>5804103.019782037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1775000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3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2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250000</v>
      </c>
    </row>
    <row r="31" spans="1:48">
      <c r="A31" s="5" t="s">
        <v>119</v>
      </c>
      <c r="B31" s="158">
        <v>150000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100000</v>
      </c>
    </row>
    <row r="46" spans="1:48" customHeight="1" ht="30">
      <c r="A46" s="57" t="s">
        <v>133</v>
      </c>
      <c r="B46" s="161">
        <v>0</v>
      </c>
    </row>
    <row r="47" spans="1:48" customHeight="1" ht="30">
      <c r="A47" s="57" t="s">
        <v>134</v>
      </c>
      <c r="B47" s="161">
        <v>60000</v>
      </c>
    </row>
    <row r="48" spans="1:48" customHeight="1" ht="30">
      <c r="A48" s="57" t="s">
        <v>135</v>
      </c>
      <c r="B48" s="161">
        <v>1000000</v>
      </c>
    </row>
    <row r="49" spans="1:48" customHeight="1" ht="30">
      <c r="A49" s="57" t="s">
        <v>136</v>
      </c>
      <c r="B49" s="161">
        <v>15000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67750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10000</v>
      </c>
      <c r="B57" s="157">
        <v>0</v>
      </c>
      <c r="C57" s="164" t="s">
        <v>148</v>
      </c>
      <c r="D57" s="165" t="s">
        <v>146</v>
      </c>
      <c r="E57" s="165" t="s">
        <v>92</v>
      </c>
      <c r="F57" s="165" t="s">
        <v>149</v>
      </c>
    </row>
    <row r="58" spans="1:48">
      <c r="A58" s="157">
        <v>3000</v>
      </c>
      <c r="B58" s="157">
        <v>0</v>
      </c>
      <c r="C58" s="164" t="s">
        <v>150</v>
      </c>
      <c r="D58" s="165" t="s">
        <v>146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94</v>
      </c>
      <c r="B66" s="159">
        <v>32226</v>
      </c>
      <c r="C66" s="163">
        <v>34233</v>
      </c>
      <c r="D66" s="49">
        <f>INDEX(Parameters!$D$79:$D$90,MATCH(Inputs!A66,Parameters!$C$79:$C$90,0))</f>
        <v>11</v>
      </c>
    </row>
    <row r="67" spans="1:48">
      <c r="A67" s="143" t="s">
        <v>154</v>
      </c>
      <c r="B67" s="157">
        <v>104614</v>
      </c>
      <c r="C67" s="165">
        <v>102007</v>
      </c>
      <c r="D67" s="49">
        <f>INDEX(Parameters!$D$79:$D$90,MATCH(Inputs!A67,Parameters!$C$79:$C$90,0))</f>
        <v>10</v>
      </c>
    </row>
    <row r="68" spans="1:48">
      <c r="A68" s="143" t="s">
        <v>155</v>
      </c>
      <c r="B68" s="157">
        <v>51768</v>
      </c>
      <c r="C68" s="165">
        <v>53999</v>
      </c>
      <c r="D68" s="49">
        <f>INDEX(Parameters!$D$79:$D$90,MATCH(Inputs!A68,Parameters!$C$79:$C$90,0))</f>
        <v>9</v>
      </c>
    </row>
    <row r="69" spans="1:48">
      <c r="A69" s="143" t="s">
        <v>156</v>
      </c>
      <c r="B69" s="157">
        <v>97249</v>
      </c>
      <c r="C69" s="165">
        <v>91887</v>
      </c>
      <c r="D69" s="49">
        <f>INDEX(Parameters!$D$79:$D$90,MATCH(Inputs!A69,Parameters!$C$79:$C$90,0))</f>
        <v>8</v>
      </c>
    </row>
    <row r="70" spans="1:48">
      <c r="A70" s="143" t="s">
        <v>157</v>
      </c>
      <c r="B70" s="157">
        <v>76638</v>
      </c>
      <c r="C70" s="165">
        <v>102382</v>
      </c>
      <c r="D70" s="49">
        <f>INDEX(Parameters!$D$79:$D$90,MATCH(Inputs!A70,Parameters!$C$79:$C$90,0))</f>
        <v>7</v>
      </c>
    </row>
    <row r="71" spans="1:48">
      <c r="A71" s="144" t="s">
        <v>158</v>
      </c>
      <c r="B71" s="158">
        <v>173310</v>
      </c>
      <c r="C71" s="167">
        <v>212031</v>
      </c>
      <c r="D71" s="49">
        <f>INDEX(Parameters!$D$79:$D$90,MATCH(Inputs!A71,Parameters!$C$79:$C$90,0))</f>
        <v>6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25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500000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43405</v>
      </c>
      <c r="C4" s="38">
        <f>IFERROR(DATE(YEAR(B4),MONTH(B4)+ROUND(T4/2,0),DAY(B4)),B4)</f>
        <v>43405</v>
      </c>
      <c r="D4" s="38">
        <f>IFERROR(DATE(YEAR(B4),MONTH(B4)+T4,DAY(B4)),"")</f>
        <v>43405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43405</v>
      </c>
      <c r="C5" s="39">
        <f>IFERROR(DATE(YEAR(B5),MONTH(B5)+ROUND(T5/2,0),DAY(B5)),B5)</f>
        <v>43466</v>
      </c>
      <c r="D5" s="39">
        <f>IFERROR(DATE(YEAR(B5),MONTH(B5)+T5,DAY(B5)),"")</f>
        <v>43525</v>
      </c>
      <c r="E5" s="39">
        <f>IFERROR(IF($S5=0,"",IF($S5=2,DATE(YEAR(B5),MONTH(B5)+6,DAY(B5)),IF($S5=1,B5,""))),"")</f>
        <v>43586</v>
      </c>
      <c r="F5" s="39">
        <f>IFERROR(IF($S5=0,"",IF($S5=2,DATE(YEAR(C5),MONTH(C5)+6,DAY(C5)),IF($S5=1,C5,""))),"")</f>
        <v>43647</v>
      </c>
      <c r="G5" s="39">
        <f>IFERROR(IF($S5=0,"",IF($S5=2,DATE(YEAR(D5),MONTH(D5)+6,DAY(D5)),IF($S5=1,D5,""))),"")</f>
        <v>43709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19000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43132</v>
      </c>
      <c r="D6" s="39">
        <f>IFERROR(DATE(YEAR(B6),MONTH(B6)+T6,DAY(B6)),"")</f>
        <v>43160</v>
      </c>
      <c r="E6" s="39">
        <f>IFERROR(IF($S6=0,"",IF($S6=2,DATE(YEAR(B6),MONTH(B6)+6,DAY(B6)),IF($S6=1,B6,""))),"")</f>
        <v>43252</v>
      </c>
      <c r="F6" s="39">
        <f>IFERROR(IF($S6=0,"",IF($S6=2,DATE(YEAR(C6),MONTH(C6)+6,DAY(C6)),IF($S6=1,C6,""))),"")</f>
        <v>43313</v>
      </c>
      <c r="G6" s="39">
        <f>IFERROR(IF($S6=0,"",IF($S6=2,DATE(YEAR(D6),MONTH(D6)+6,DAY(D6)),IF($S6=1,D6,""))),"")</f>
        <v>43344</v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18045.26684812627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480004.0981601588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5600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28500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67750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43119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43150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43132</v>
      </c>
      <c r="F34" t="s">
        <v>166</v>
      </c>
      <c r="G34" s="128">
        <f>IF(Inputs!B80="","",DATE(YEAR(Inputs!B80),MONTH(Inputs!B80),DAY(Inputs!B80)))</f>
        <v>43119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43178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43160</v>
      </c>
      <c r="F35" t="s">
        <v>168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43209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43191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43239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43221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43270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43252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43300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43282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43331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43313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43362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43344</v>
      </c>
      <c r="F41" t="s">
        <v>232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43392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43374</v>
      </c>
      <c r="F42" t="s">
        <v>233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43423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43453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43484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43515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43543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43574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43604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43635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43617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43665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43647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43696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43678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43727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43709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43757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43739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43788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43770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43818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43800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206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130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234</v>
      </c>
      <c r="E53" s="10" t="s">
        <v>193</v>
      </c>
      <c r="F53" s="10" t="s">
        <v>253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171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230</v>
      </c>
      <c r="J76" s="11" t="s">
        <v>351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112</v>
      </c>
      <c r="H78" s="12" t="s">
        <v>130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365</v>
      </c>
      <c r="K79" s="12" t="s">
        <v>93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157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