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<sst xmlns="http://schemas.openxmlformats.org/spreadsheetml/2006/main" uniqueCount="368">
  <si>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</si>
  <si>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</si>
  <si>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</si>
  <si>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</si>
  <si>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</si>
  <si>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</si>
  <si>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</si>
  <si>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</si>
  <si>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</si>
  <si>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</si>
  <si>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</si>
  <si>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</si>
  <si>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</si>
  <si>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</si>
  <si>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</si>
  <si>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</si>
  <si>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</si>
  <si>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</si>
  <si>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</si>
  <si>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</si>
  <si>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</si>
  <si>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</si>
  <si>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</si>
  <si>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</si>
  <si>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</si>
  <si>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</si>
  <si>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</si>
  <si>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</si>
  <si>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</si>
  <si>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</si>
  <si>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</si>
  <si>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</si>
  <si>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</si>
  <si>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</si>
  <si>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</si>
  <si>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</si>
  <si>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</si>
  <si>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</si>
  <si>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</si>
  <si>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</si>
  <si>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</si>
  <si>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</si>
  <si>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</si>
  <si>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</si>
  <si>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</si>
  <si>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</si>
  <si>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</si>
  <si>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</si>
  <si>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</si>
  <si>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</si>
  <si>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</si>
  <si>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</si>
  <si>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</si>
  <si>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</si>
  <si>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</si>
  <si>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</si>
  <si>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</si>
  <si>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</si>
  <si>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</si>
  <si>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</si>
  <si>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</si>
  <si>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</si>
  <si>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</si>
  <si>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</si>
  <si>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</si>
  <si>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</si>
  <si>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</si>
  <si>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</si>
  <si>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</si>
  <si>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</si>
  <si>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</si>
  <si>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</si>
  <si>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</si>
  <si>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</si>
  <si>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</si>
  <si>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</si>
  <si>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</si>
  <si>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</si>
  <si>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</si>
  <si>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</si>
  <si>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</si>
  <si>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</si>
  <si>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</si>
  <si>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</si>
  <si>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</si>
  <si>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</si>
  <si>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</si>
  <si>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</si>
  <si>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</si>
  <si>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</si>
  <si>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</si>
  <si>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</si>
  <si>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</si>
  <si>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</si>
  <si>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</si>
  <si>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</si>
  <si>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</si>
  <si>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</si>
  <si>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</si>
  <si>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</si>
  <si>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</si>
  <si>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</si>
  <si>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</si>
  <si>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</si>
  <si>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</si>
  <si>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</si>
  <si>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</si>
  <si>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</si>
  <si>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</si>
  <si>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</si>
  <si>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Insurance policy seller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</si>
  <si>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</si>
  <si>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</si>
  <si>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</si>
  <si>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</si>
  <si>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</si>
  <si>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</si>
  <si>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</si>
  <si>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</si>
  <si>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</si>
  <si>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</si>
  <si>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</si>
  <si>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</si>
  <si>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</si>
  <si>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</si>
  <si>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</si>
  <si>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</si>
  <si>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</si>
  <si>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</si>
  <si>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</si>
  <si>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</si>
  <si>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</si>
  <si>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</si>
  <si>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</si>
  <si>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</si>
  <si>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</si>
  <si>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</si>
  <si>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</si>
  <si>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</si>
  <si>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</si>
  <si>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8/4/2015</t>
  </si>
  <si>
    <t>Equity</t>
  </si>
  <si>
    <t>Timely paid</t>
  </si>
  <si>
    <t>Mpesa &amp; bank cash flows (from past statements)</t>
  </si>
  <si>
    <t>Cash inflows</t>
  </si>
  <si>
    <t>Cash outflows</t>
  </si>
  <si>
    <t>October</t>
  </si>
  <si>
    <t>September</t>
  </si>
  <si>
    <t>August</t>
  </si>
  <si>
    <t>July</t>
  </si>
  <si>
    <t>June</t>
  </si>
  <si>
    <t>May</t>
  </si>
  <si>
    <t>Loan info</t>
  </si>
  <si>
    <t>Branch ID</t>
  </si>
  <si>
    <t>Submission date</t>
  </si>
  <si>
    <t>2017/12/6</t>
  </si>
  <si>
    <t>Loan terms</t>
  </si>
  <si>
    <t>Expected disbursement date</t>
  </si>
  <si>
    <t>Expected first repayment date</t>
  </si>
  <si>
    <t>2018/1/6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</si>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</sst>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Chicken_layers, Chicken: sale of ex layers</v>
      </c>
    </row>
    <row r="8" spans="1:7">
      <c r="B8" s="1" t="s">
        <v>4</v>
      </c>
      <c r="C8" t="str">
        <f>IF(Inputs!B29="","None",Inputs!B29)</f>
        <v>Insurance policy seller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0.511710547133286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0.4833931034482759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180702.7974793097</v>
      </c>
    </row>
    <row r="18" spans="1:7">
      <c r="B18" s="1" t="s">
        <v>12</v>
      </c>
      <c r="C18" s="36">
        <f>MIN(Output!B6:M6)</f>
        <v>-50941.43354339086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21058.56645660914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590000</v>
      </c>
    </row>
    <row r="25" spans="1:7">
      <c r="B25" s="1" t="s">
        <v>18</v>
      </c>
      <c r="C25" s="36">
        <f>MAX(Inputs!A56:A60)</f>
        <v>590000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21058.56645660914</v>
      </c>
      <c r="C6" s="51">
        <f>C30-C88</f>
        <v>-50941.43354339086</v>
      </c>
      <c r="D6" s="51">
        <f>D30-D88</f>
        <v>21058.56645660914</v>
      </c>
      <c r="E6" s="51">
        <f>E30-E88</f>
        <v>21058.56645660914</v>
      </c>
      <c r="F6" s="51">
        <f>F30-F88</f>
        <v>21058.56645660914</v>
      </c>
      <c r="G6" s="51">
        <f>G30-G88</f>
        <v>21058.56645660914</v>
      </c>
      <c r="H6" s="51">
        <f>H30-H88</f>
        <v>21058.56645660914</v>
      </c>
      <c r="I6" s="51">
        <f>I30-I88</f>
        <v>21058.56645660914</v>
      </c>
      <c r="J6" s="51">
        <f>J30-J88</f>
        <v>21058.56645660914</v>
      </c>
      <c r="K6" s="51">
        <f>K30-K88</f>
        <v>21058.56645660914</v>
      </c>
      <c r="L6" s="51">
        <f>L30-L88</f>
        <v>21058.56645660914</v>
      </c>
      <c r="M6" s="51">
        <f>M30-M88</f>
        <v>21058.56645660914</v>
      </c>
      <c r="N6" s="51">
        <f>N30-N88</f>
        <v>21058.56645660914</v>
      </c>
      <c r="O6" s="51">
        <f>O30-O88</f>
        <v>-50941.43354339086</v>
      </c>
      <c r="P6" s="51">
        <f>P30-P88</f>
        <v>21058.56645660914</v>
      </c>
      <c r="Q6" s="51">
        <f>Q30-Q88</f>
        <v>21058.56645660914</v>
      </c>
      <c r="R6" s="51">
        <f>R30-R88</f>
        <v>24776.77817295038</v>
      </c>
      <c r="S6" s="51">
        <f>S30-S88</f>
        <v>57010.71616541353</v>
      </c>
      <c r="T6" s="51">
        <f>T30-T88</f>
        <v>43885.71616541353</v>
      </c>
      <c r="U6" s="51">
        <f>U30-U88</f>
        <v>43885.71616541353</v>
      </c>
      <c r="V6" s="51">
        <f>V30-V88</f>
        <v>43885.71616541353</v>
      </c>
      <c r="W6" s="51">
        <f>W30-W88</f>
        <v>43885.71616541353</v>
      </c>
      <c r="X6" s="51">
        <f>X30-X88</f>
        <v>43885.71616541353</v>
      </c>
      <c r="Y6" s="51">
        <f>Y30-Y88</f>
        <v>43885.71616541353</v>
      </c>
      <c r="Z6" s="51">
        <f>SUMIF($B$13:$Y$13,"Yes",B6:Y6)</f>
        <v>201761.3639359189</v>
      </c>
      <c r="AA6" s="51">
        <f>AA30-AA88</f>
        <v>180702.7974793098</v>
      </c>
      <c r="AB6" s="51">
        <f>AB30-AB88</f>
        <v>538038.8546365923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15974</v>
      </c>
      <c r="H7" s="80">
        <f>IF(ISERROR(VLOOKUP(MONTH(H5),Inputs!$D$66:$D$71,1,0)),"",INDEX(Inputs!$B$66:$B$71,MATCH(MONTH(Output!H5),Inputs!$D$66:$D$71,0))-INDEX(Inputs!$C$66:$C$71,MATCH(MONTH(Output!H5),Inputs!$D$66:$D$71,0)))</f>
        <v>18044</v>
      </c>
      <c r="I7" s="80">
        <f>IF(ISERROR(VLOOKUP(MONTH(I5),Inputs!$D$66:$D$71,1,0)),"",INDEX(Inputs!$B$66:$B$71,MATCH(MONTH(Output!I5),Inputs!$D$66:$D$71,0))-INDEX(Inputs!$C$66:$C$71,MATCH(MONTH(Output!I5),Inputs!$D$66:$D$71,0)))</f>
        <v>21592</v>
      </c>
      <c r="J7" s="80">
        <f>IF(ISERROR(VLOOKUP(MONTH(J5),Inputs!$D$66:$D$71,1,0)),"",INDEX(Inputs!$B$66:$B$71,MATCH(MONTH(Output!J5),Inputs!$D$66:$D$71,0))-INDEX(Inputs!$C$66:$C$71,MATCH(MONTH(Output!J5),Inputs!$D$66:$D$71,0)))</f>
        <v>3996</v>
      </c>
      <c r="K7" s="80">
        <f>IF(ISERROR(VLOOKUP(MONTH(K5),Inputs!$D$66:$D$71,1,0)),"",INDEX(Inputs!$B$66:$B$71,MATCH(MONTH(Output!K5),Inputs!$D$66:$D$71,0))-INDEX(Inputs!$C$66:$C$71,MATCH(MONTH(Output!K5),Inputs!$D$66:$D$71,0)))</f>
        <v>9072</v>
      </c>
      <c r="L7" s="80">
        <f>IF(ISERROR(VLOOKUP(MONTH(L5),Inputs!$D$66:$D$71,1,0)),"",INDEX(Inputs!$B$66:$B$71,MATCH(MONTH(Output!L5),Inputs!$D$66:$D$71,0))-INDEX(Inputs!$C$66:$C$71,MATCH(MONTH(Output!L5),Inputs!$D$66:$D$71,0)))</f>
        <v>-59799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15974</v>
      </c>
      <c r="T7" s="80">
        <f>IF(ISERROR(VLOOKUP(MONTH(T5),Inputs!$D$66:$D$71,1,0)),"",INDEX(Inputs!$B$66:$B$71,MATCH(MONTH(Output!T5),Inputs!$D$66:$D$71,0))-INDEX(Inputs!$C$66:$C$71,MATCH(MONTH(Output!T5),Inputs!$D$66:$D$71,0)))</f>
        <v>18044</v>
      </c>
      <c r="U7" s="80">
        <f>IF(ISERROR(VLOOKUP(MONTH(U5),Inputs!$D$66:$D$71,1,0)),"",INDEX(Inputs!$B$66:$B$71,MATCH(MONTH(Output!U5),Inputs!$D$66:$D$71,0))-INDEX(Inputs!$C$66:$C$71,MATCH(MONTH(Output!U5),Inputs!$D$66:$D$71,0)))</f>
        <v>21592</v>
      </c>
      <c r="V7" s="80">
        <f>IF(ISERROR(VLOOKUP(MONTH(V5),Inputs!$D$66:$D$71,1,0)),"",INDEX(Inputs!$B$66:$B$71,MATCH(MONTH(Output!V5),Inputs!$D$66:$D$71,0))-INDEX(Inputs!$C$66:$C$71,MATCH(MONTH(Output!V5),Inputs!$D$66:$D$71,0)))</f>
        <v>3996</v>
      </c>
      <c r="W7" s="80">
        <f>IF(ISERROR(VLOOKUP(MONTH(W5),Inputs!$D$66:$D$71,1,0)),"",INDEX(Inputs!$B$66:$B$71,MATCH(MONTH(Output!W5),Inputs!$D$66:$D$71,0))-INDEX(Inputs!$C$66:$C$71,MATCH(MONTH(Output!W5),Inputs!$D$66:$D$71,0)))</f>
        <v>9072</v>
      </c>
      <c r="X7" s="80">
        <f>IF(ISERROR(VLOOKUP(MONTH(X5),Inputs!$D$66:$D$71,1,0)),"",INDEX(Inputs!$B$66:$B$71,MATCH(MONTH(Output!X5),Inputs!$D$66:$D$71,0))-INDEX(Inputs!$C$66:$C$71,MATCH(MONTH(Output!X5),Inputs!$D$66:$D$71,0)))</f>
        <v>-59799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171058.5664566091</v>
      </c>
      <c r="C11" s="80">
        <f>C6+C9-C10</f>
        <v>-65941.43354339086</v>
      </c>
      <c r="D11" s="80">
        <f>D6+D9-D10</f>
        <v>6058.566456609144</v>
      </c>
      <c r="E11" s="80">
        <f>E6+E9-E10</f>
        <v>6058.566456609144</v>
      </c>
      <c r="F11" s="80">
        <f>F6+F9-F10</f>
        <v>6058.566456609144</v>
      </c>
      <c r="G11" s="80">
        <f>G6+G9-G10</f>
        <v>6058.566456609144</v>
      </c>
      <c r="H11" s="80">
        <f>H6+H9-H10</f>
        <v>6058.566456609144</v>
      </c>
      <c r="I11" s="80">
        <f>I6+I9-I10</f>
        <v>6058.566456609144</v>
      </c>
      <c r="J11" s="80">
        <f>J6+J9-J10</f>
        <v>6058.566456609144</v>
      </c>
      <c r="K11" s="80">
        <f>K6+K9-K10</f>
        <v>6058.566456609144</v>
      </c>
      <c r="L11" s="80">
        <f>L6+L9-L10</f>
        <v>6058.566456609144</v>
      </c>
      <c r="M11" s="80">
        <f>M6+M9-M10</f>
        <v>6058.566456609144</v>
      </c>
      <c r="N11" s="80">
        <f>N6+N9-N10</f>
        <v>6058.566456609144</v>
      </c>
      <c r="O11" s="80">
        <f>O6+O9-O10</f>
        <v>-50941.43354339086</v>
      </c>
      <c r="P11" s="80">
        <f>P6+P9-P10</f>
        <v>21058.56645660914</v>
      </c>
      <c r="Q11" s="80">
        <f>Q6+Q9-Q10</f>
        <v>21058.56645660914</v>
      </c>
      <c r="R11" s="80">
        <f>R6+R9-R10</f>
        <v>24776.77817295038</v>
      </c>
      <c r="S11" s="80">
        <f>S6+S9-S10</f>
        <v>57010.71616541353</v>
      </c>
      <c r="T11" s="80">
        <f>T6+T9-T10</f>
        <v>43885.71616541353</v>
      </c>
      <c r="U11" s="80">
        <f>U6+U9-U10</f>
        <v>43885.71616541353</v>
      </c>
      <c r="V11" s="80">
        <f>V6+V9-V10</f>
        <v>43885.71616541353</v>
      </c>
      <c r="W11" s="80">
        <f>W6+W9-W10</f>
        <v>43885.71616541353</v>
      </c>
      <c r="X11" s="80">
        <f>X6+X9-X10</f>
        <v>43885.71616541353</v>
      </c>
      <c r="Y11" s="80">
        <f>Y6+Y9-Y10</f>
        <v>43885.71616541353</v>
      </c>
      <c r="Z11" s="85">
        <f>SUMIF($B$13:$Y$13,"Yes",B11:Y11)</f>
        <v>171761.3639359189</v>
      </c>
      <c r="AA11" s="80">
        <f>SUM(B11:M11)</f>
        <v>165702.7974793097</v>
      </c>
      <c r="AB11" s="46">
        <f>SUM(B11:Y11)</f>
        <v>508038.8546365913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0.1248781055308499</v>
      </c>
      <c r="D12" s="82">
        <f>IF(D13="Yes",IF(SUM($B$10:D10)/(SUM($B$6:D6)+SUM($B$9:D9))&lt;0,999.99,SUM($B$10:D10)/(SUM($B$6:D6)+SUM($B$9:D9))),"")</f>
        <v>0.2125011608507158</v>
      </c>
      <c r="E12" s="82">
        <f>IF(E13="Yes",IF(SUM($B$10:E10)/(SUM($B$6:E6)+SUM($B$9:E9))&lt;0,999.99,SUM($B$10:E10)/(SUM($B$6:E6)+SUM($B$9:E9))),"")</f>
        <v>0.2773766674430077</v>
      </c>
      <c r="F12" s="82">
        <f>IF(F13="Yes",IF(SUM($B$10:F10)/(SUM($B$6:F6)+SUM($B$9:F9))&lt;0,999.99,SUM($B$10:F10)/(SUM($B$6:F6)+SUM($B$9:F9))),"")</f>
        <v>0.3273450426438192</v>
      </c>
      <c r="G12" s="82">
        <f>IF(G13="Yes",IF(SUM($B$10:G10)/(SUM($B$6:G6)+SUM($B$9:G9))&lt;0,999.99,SUM($B$10:G10)/(SUM($B$6:G6)+SUM($B$9:G9))),"")</f>
        <v>0.3670148600037259</v>
      </c>
      <c r="H12" s="82">
        <f>IF(H13="Yes",IF(SUM($B$10:H10)/(SUM($B$6:H6)+SUM($B$9:H9))&lt;0,999.99,SUM($B$10:H10)/(SUM($B$6:H6)+SUM($B$9:H9))),"")</f>
        <v>0.3992724985412122</v>
      </c>
      <c r="I12" s="82">
        <f>IF(I13="Yes",IF(SUM($B$10:I10)/(SUM($B$6:I6)+SUM($B$9:I9))&lt;0,999.99,SUM($B$10:I10)/(SUM($B$6:I6)+SUM($B$9:I9))),"")</f>
        <v>0.4260178745572366</v>
      </c>
      <c r="J12" s="82">
        <f>IF(J13="Yes",IF(SUM($B$10:J10)/(SUM($B$6:J6)+SUM($B$9:J9))&lt;0,999.99,SUM($B$10:J10)/(SUM($B$6:J6)+SUM($B$9:J9))),"")</f>
        <v>0.4485526918506454</v>
      </c>
      <c r="K12" s="82">
        <f>IF(K13="Yes",IF(SUM($B$10:K10)/(SUM($B$6:K6)+SUM($B$9:K9))&lt;0,999.99,SUM($B$10:K10)/(SUM($B$6:K6)+SUM($B$9:K9))),"")</f>
        <v>0.4677987044262295</v>
      </c>
      <c r="L12" s="82">
        <f>IF(L13="Yes",IF(SUM($B$10:L10)/(SUM($B$6:L6)+SUM($B$9:L9))&lt;0,999.99,SUM($B$10:L10)/(SUM($B$6:L6)+SUM($B$9:L9))),"")</f>
        <v>0.4844269163503429</v>
      </c>
      <c r="M12" s="82">
        <f>IF(M13="Yes",IF(SUM($B$10:M10)/(SUM($B$6:M6)+SUM($B$9:M9))&lt;0,999.99,SUM($B$10:M10)/(SUM($B$6:M6)+SUM($B$9:M9))),"")</f>
        <v>0.4989374183032823</v>
      </c>
      <c r="N12" s="82">
        <f>IF(N13="Yes",IF(SUM($B$10:N10)/(SUM($B$6:N6)+SUM($B$9:N9))&lt;0,999.99,SUM($B$10:N10)/(SUM($B$6:N6)+SUM($B$9:N9))),"")</f>
        <v>0.511710547133286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20291.35338345865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27500</v>
      </c>
      <c r="C24" s="36">
        <f>IFERROR(Calculations!$P14/12,"")</f>
        <v>27500</v>
      </c>
      <c r="D24" s="36">
        <f>IFERROR(Calculations!$P14/12,"")</f>
        <v>27500</v>
      </c>
      <c r="E24" s="36">
        <f>IFERROR(Calculations!$P14/12,"")</f>
        <v>27500</v>
      </c>
      <c r="F24" s="36">
        <f>IFERROR(Calculations!$P14/12,"")</f>
        <v>27500</v>
      </c>
      <c r="G24" s="36">
        <f>IFERROR(Calculations!$P14/12,"")</f>
        <v>27500</v>
      </c>
      <c r="H24" s="36">
        <f>IFERROR(Calculations!$P14/12,"")</f>
        <v>27500</v>
      </c>
      <c r="I24" s="36">
        <f>IFERROR(Calculations!$P14/12,"")</f>
        <v>27500</v>
      </c>
      <c r="J24" s="36">
        <f>IFERROR(Calculations!$P14/12,"")</f>
        <v>27500</v>
      </c>
      <c r="K24" s="36">
        <f>IFERROR(Calculations!$P14/12,"")</f>
        <v>27500</v>
      </c>
      <c r="L24" s="36">
        <f>IFERROR(Calculations!$P14/12,"")</f>
        <v>27500</v>
      </c>
      <c r="M24" s="36">
        <f>IFERROR(Calculations!$P14/12,"")</f>
        <v>27500</v>
      </c>
      <c r="N24" s="36">
        <f>IFERROR(Calculations!$P14/12,"")</f>
        <v>27500</v>
      </c>
      <c r="O24" s="36">
        <f>IFERROR(Calculations!$P14/12,"")</f>
        <v>27500</v>
      </c>
      <c r="P24" s="36">
        <f>IFERROR(Calculations!$P14/12,"")</f>
        <v>27500</v>
      </c>
      <c r="Q24" s="36">
        <f>IFERROR(Calculations!$P14/12,"")</f>
        <v>27500</v>
      </c>
      <c r="R24" s="36">
        <f>IFERROR(Calculations!$P14/12,"")</f>
        <v>27500</v>
      </c>
      <c r="S24" s="36">
        <f>IFERROR(Calculations!$P14/12,"")</f>
        <v>27500</v>
      </c>
      <c r="T24" s="36">
        <f>IFERROR(Calculations!$P14/12,"")</f>
        <v>27500</v>
      </c>
      <c r="U24" s="36">
        <f>IFERROR(Calculations!$P14/12,"")</f>
        <v>27500</v>
      </c>
      <c r="V24" s="36">
        <f>IFERROR(Calculations!$P14/12,"")</f>
        <v>27500</v>
      </c>
      <c r="W24" s="36">
        <f>IFERROR(Calculations!$P14/12,"")</f>
        <v>27500</v>
      </c>
      <c r="X24" s="36">
        <f>IFERROR(Calculations!$P14/12,"")</f>
        <v>27500</v>
      </c>
      <c r="Y24" s="36">
        <f>IFERROR(Calculations!$P14/12,"")</f>
        <v>27500</v>
      </c>
      <c r="Z24" s="36">
        <f>SUMIF($B$13:$Y$13,"Yes",B24:Y24)</f>
        <v>357500</v>
      </c>
      <c r="AA24" s="36">
        <f>SUM(B24:M24)</f>
        <v>330000</v>
      </c>
      <c r="AB24" s="46">
        <f>SUM(B24:Y24)</f>
        <v>660000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9124.999999999998</v>
      </c>
      <c r="C25" s="36">
        <f>IFERROR(Calculations!$P15/12,"")</f>
        <v>9124.999999999998</v>
      </c>
      <c r="D25" s="36">
        <f>IFERROR(Calculations!$P15/12,"")</f>
        <v>9124.999999999998</v>
      </c>
      <c r="E25" s="36">
        <f>IFERROR(Calculations!$P15/12,"")</f>
        <v>9124.999999999998</v>
      </c>
      <c r="F25" s="36">
        <f>IFERROR(Calculations!$P15/12,"")</f>
        <v>9124.999999999998</v>
      </c>
      <c r="G25" s="36">
        <f>IFERROR(Calculations!$P15/12,"")</f>
        <v>9124.999999999998</v>
      </c>
      <c r="H25" s="36">
        <f>IFERROR(Calculations!$P15/12,"")</f>
        <v>9124.999999999998</v>
      </c>
      <c r="I25" s="36">
        <f>IFERROR(Calculations!$P15/12,"")</f>
        <v>9124.999999999998</v>
      </c>
      <c r="J25" s="36">
        <f>IFERROR(Calculations!$P15/12,"")</f>
        <v>9124.999999999998</v>
      </c>
      <c r="K25" s="36">
        <f>IFERROR(Calculations!$P15/12,"")</f>
        <v>9124.999999999998</v>
      </c>
      <c r="L25" s="36">
        <f>IFERROR(Calculations!$P15/12,"")</f>
        <v>9124.999999999998</v>
      </c>
      <c r="M25" s="36">
        <f>IFERROR(Calculations!$P15/12,"")</f>
        <v>9124.999999999998</v>
      </c>
      <c r="N25" s="36">
        <f>IFERROR(Calculations!$P15/12,"")</f>
        <v>9124.999999999998</v>
      </c>
      <c r="O25" s="36">
        <f>IFERROR(Calculations!$P15/12,"")</f>
        <v>9124.999999999998</v>
      </c>
      <c r="P25" s="36">
        <f>IFERROR(Calculations!$P15/12,"")</f>
        <v>9124.999999999998</v>
      </c>
      <c r="Q25" s="36">
        <f>IFERROR(Calculations!$P15/12,"")</f>
        <v>9124.999999999998</v>
      </c>
      <c r="R25" s="36">
        <f>IFERROR(Calculations!$P15/12,"")</f>
        <v>9124.999999999998</v>
      </c>
      <c r="S25" s="36">
        <f>IFERROR(Calculations!$P15/12,"")</f>
        <v>9124.999999999998</v>
      </c>
      <c r="T25" s="36">
        <f>IFERROR(Calculations!$P15/12,"")</f>
        <v>9124.999999999998</v>
      </c>
      <c r="U25" s="36">
        <f>IFERROR(Calculations!$P15/12,"")</f>
        <v>9124.999999999998</v>
      </c>
      <c r="V25" s="36">
        <f>IFERROR(Calculations!$P15/12,"")</f>
        <v>9124.999999999998</v>
      </c>
      <c r="W25" s="36">
        <f>IFERROR(Calculations!$P15/12,"")</f>
        <v>9124.999999999998</v>
      </c>
      <c r="X25" s="36">
        <f>IFERROR(Calculations!$P15/12,"")</f>
        <v>9124.999999999998</v>
      </c>
      <c r="Y25" s="36">
        <f>IFERROR(Calculations!$P15/12,"")</f>
        <v>9124.999999999998</v>
      </c>
      <c r="Z25" s="36">
        <f>SUMIF($B$13:$Y$13,"Yes",B25:Y25)</f>
        <v>118625</v>
      </c>
      <c r="AA25" s="36">
        <f>SUM(B25:M25)</f>
        <v>109500</v>
      </c>
      <c r="AB25" s="46">
        <f>SUM(B25:Y25)</f>
        <v>219000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13125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13125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95000</v>
      </c>
      <c r="C29" s="37">
        <f>Inputs!$B$30</f>
        <v>95000</v>
      </c>
      <c r="D29" s="37">
        <f>Inputs!$B$30</f>
        <v>95000</v>
      </c>
      <c r="E29" s="37">
        <f>Inputs!$B$30</f>
        <v>95000</v>
      </c>
      <c r="F29" s="37">
        <f>Inputs!$B$30</f>
        <v>95000</v>
      </c>
      <c r="G29" s="37">
        <f>Inputs!$B$30</f>
        <v>95000</v>
      </c>
      <c r="H29" s="37">
        <f>Inputs!$B$30</f>
        <v>95000</v>
      </c>
      <c r="I29" s="37">
        <f>Inputs!$B$30</f>
        <v>95000</v>
      </c>
      <c r="J29" s="37">
        <f>Inputs!$B$30</f>
        <v>95000</v>
      </c>
      <c r="K29" s="37">
        <f>Inputs!$B$30</f>
        <v>95000</v>
      </c>
      <c r="L29" s="37">
        <f>Inputs!$B$30</f>
        <v>95000</v>
      </c>
      <c r="M29" s="37">
        <f>Inputs!$B$30</f>
        <v>95000</v>
      </c>
      <c r="N29" s="37">
        <f>Inputs!$B$30</f>
        <v>95000</v>
      </c>
      <c r="O29" s="37">
        <f>Inputs!$B$30</f>
        <v>95000</v>
      </c>
      <c r="P29" s="37">
        <f>Inputs!$B$30</f>
        <v>95000</v>
      </c>
      <c r="Q29" s="37">
        <f>Inputs!$B$30</f>
        <v>95000</v>
      </c>
      <c r="R29" s="37">
        <f>Inputs!$B$30</f>
        <v>95000</v>
      </c>
      <c r="S29" s="37">
        <f>Inputs!$B$30</f>
        <v>95000</v>
      </c>
      <c r="T29" s="37">
        <f>Inputs!$B$30</f>
        <v>95000</v>
      </c>
      <c r="U29" s="37">
        <f>Inputs!$B$30</f>
        <v>95000</v>
      </c>
      <c r="V29" s="37">
        <f>Inputs!$B$30</f>
        <v>95000</v>
      </c>
      <c r="W29" s="37">
        <f>Inputs!$B$30</f>
        <v>95000</v>
      </c>
      <c r="X29" s="37">
        <f>Inputs!$B$30</f>
        <v>95000</v>
      </c>
      <c r="Y29" s="37">
        <f>Inputs!$B$30</f>
        <v>95000</v>
      </c>
      <c r="Z29" s="37">
        <f>SUMIF($B$13:$Y$13,"Yes",B29:Y29)</f>
        <v>1235000</v>
      </c>
      <c r="AA29" s="37">
        <f>SUM(B29:M29)</f>
        <v>1140000</v>
      </c>
      <c r="AB29" s="37">
        <f>SUM(B29:Y29)</f>
        <v>2280000</v>
      </c>
    </row>
    <row r="30" spans="1:30" customHeight="1" ht="15.75">
      <c r="A30" s="1" t="s">
        <v>37</v>
      </c>
      <c r="B30" s="19">
        <f>SUM(B18:B29)</f>
        <v>131625</v>
      </c>
      <c r="C30" s="19">
        <f>SUM(C18:C29)</f>
        <v>131625</v>
      </c>
      <c r="D30" s="19">
        <f>SUM(D18:D29)</f>
        <v>131625</v>
      </c>
      <c r="E30" s="19">
        <f>SUM(E18:E29)</f>
        <v>131625</v>
      </c>
      <c r="F30" s="19">
        <f>SUM(F18:F29)</f>
        <v>131625</v>
      </c>
      <c r="G30" s="19">
        <f>SUM(G18:G29)</f>
        <v>131625</v>
      </c>
      <c r="H30" s="19">
        <f>SUM(H18:H29)</f>
        <v>131625</v>
      </c>
      <c r="I30" s="19">
        <f>SUM(I18:I29)</f>
        <v>131625</v>
      </c>
      <c r="J30" s="19">
        <f>SUM(J18:J29)</f>
        <v>131625</v>
      </c>
      <c r="K30" s="19">
        <f>SUM(K18:K29)</f>
        <v>131625</v>
      </c>
      <c r="L30" s="19">
        <f>SUM(L18:L29)</f>
        <v>131625</v>
      </c>
      <c r="M30" s="19">
        <f>SUM(M18:M29)</f>
        <v>131625</v>
      </c>
      <c r="N30" s="19">
        <f>SUM(N18:N29)</f>
        <v>131625</v>
      </c>
      <c r="O30" s="19">
        <f>SUM(O18:O29)</f>
        <v>131625</v>
      </c>
      <c r="P30" s="19">
        <f>SUM(P18:P29)</f>
        <v>131625</v>
      </c>
      <c r="Q30" s="19">
        <f>SUM(Q18:Q29)</f>
        <v>131625</v>
      </c>
      <c r="R30" s="19">
        <f>SUM(R18:R29)</f>
        <v>131625</v>
      </c>
      <c r="S30" s="19">
        <f>SUM(S18:S29)</f>
        <v>144750</v>
      </c>
      <c r="T30" s="19">
        <f>SUM(T18:T29)</f>
        <v>131625</v>
      </c>
      <c r="U30" s="19">
        <f>SUM(U18:U29)</f>
        <v>131625</v>
      </c>
      <c r="V30" s="19">
        <f>SUM(V18:V29)</f>
        <v>131625</v>
      </c>
      <c r="W30" s="19">
        <f>SUM(W18:W29)</f>
        <v>131625</v>
      </c>
      <c r="X30" s="19">
        <f>SUM(X18:X29)</f>
        <v>131625</v>
      </c>
      <c r="Y30" s="19">
        <f>SUM(Y18:Y29)</f>
        <v>131625</v>
      </c>
      <c r="Z30" s="19">
        <f>SUMIF($B$13:$Y$13,"Yes",B30:Y30)</f>
        <v>1711125</v>
      </c>
      <c r="AA30" s="19">
        <f>SUM(B30:M30)</f>
        <v>1579500</v>
      </c>
      <c r="AB30" s="19">
        <f>SUM(B30:Y30)</f>
        <v>3172125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72000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72000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72000</v>
      </c>
      <c r="AA72" s="46">
        <f>SUM(B72:M72)</f>
        <v>72000</v>
      </c>
      <c r="AB72" s="46">
        <f>SUM(B72:Y72)</f>
        <v>144000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6083.333333333333</v>
      </c>
      <c r="C74" s="46">
        <f>SUM(Calculations!$Q$14:$Q$16)/12</f>
        <v>6083.333333333333</v>
      </c>
      <c r="D74" s="46">
        <f>SUM(Calculations!$Q$14:$Q$16)/12</f>
        <v>6083.333333333333</v>
      </c>
      <c r="E74" s="46">
        <f>SUM(Calculations!$Q$14:$Q$16)/12</f>
        <v>6083.333333333333</v>
      </c>
      <c r="F74" s="46">
        <f>SUM(Calculations!$Q$14:$Q$16)/12</f>
        <v>6083.333333333333</v>
      </c>
      <c r="G74" s="46">
        <f>SUM(Calculations!$Q$14:$Q$16)/12</f>
        <v>6083.333333333333</v>
      </c>
      <c r="H74" s="46">
        <f>SUM(Calculations!$Q$14:$Q$16)/12</f>
        <v>6083.333333333333</v>
      </c>
      <c r="I74" s="46">
        <f>SUM(Calculations!$Q$14:$Q$16)/12</f>
        <v>6083.333333333333</v>
      </c>
      <c r="J74" s="46">
        <f>SUM(Calculations!$Q$14:$Q$16)/12</f>
        <v>6083.333333333333</v>
      </c>
      <c r="K74" s="46">
        <f>SUM(Calculations!$Q$14:$Q$16)/12</f>
        <v>6083.333333333333</v>
      </c>
      <c r="L74" s="46">
        <f>SUM(Calculations!$Q$14:$Q$16)/12</f>
        <v>6083.333333333333</v>
      </c>
      <c r="M74" s="46">
        <f>SUM(Calculations!$Q$14:$Q$16)/12</f>
        <v>6083.333333333333</v>
      </c>
      <c r="N74" s="46">
        <f>SUM(Calculations!$Q$14:$Q$16)/12</f>
        <v>6083.333333333333</v>
      </c>
      <c r="O74" s="46">
        <f>SUM(Calculations!$Q$14:$Q$16)/12</f>
        <v>6083.333333333333</v>
      </c>
      <c r="P74" s="46">
        <f>SUM(Calculations!$Q$14:$Q$16)/12</f>
        <v>6083.333333333333</v>
      </c>
      <c r="Q74" s="46">
        <f>SUM(Calculations!$Q$14:$Q$16)/12</f>
        <v>6083.333333333333</v>
      </c>
      <c r="R74" s="46">
        <f>SUM(Calculations!$Q$14:$Q$16)/12</f>
        <v>6083.333333333333</v>
      </c>
      <c r="S74" s="46">
        <f>SUM(Calculations!$Q$14:$Q$16)/12</f>
        <v>6083.333333333333</v>
      </c>
      <c r="T74" s="46">
        <f>SUM(Calculations!$Q$14:$Q$16)/12</f>
        <v>6083.333333333333</v>
      </c>
      <c r="U74" s="46">
        <f>SUM(Calculations!$Q$14:$Q$16)/12</f>
        <v>6083.333333333333</v>
      </c>
      <c r="V74" s="46">
        <f>SUM(Calculations!$Q$14:$Q$16)/12</f>
        <v>6083.333333333333</v>
      </c>
      <c r="W74" s="46">
        <f>SUM(Calculations!$Q$14:$Q$16)/12</f>
        <v>6083.333333333333</v>
      </c>
      <c r="X74" s="46">
        <f>SUM(Calculations!$Q$14:$Q$16)/12</f>
        <v>6083.333333333333</v>
      </c>
      <c r="Y74" s="46">
        <f>SUM(Calculations!$Q$14:$Q$16)/12</f>
        <v>6083.333333333333</v>
      </c>
      <c r="Z74" s="46">
        <f>SUMIF($B$13:$Y$13,"Yes",B74:Y74)</f>
        <v>79083.33333333333</v>
      </c>
      <c r="AA74" s="46">
        <f>SUM(B74:M74)</f>
        <v>73000</v>
      </c>
      <c r="AB74" s="46">
        <f>SUM(B74:Y74)</f>
        <v>146000</v>
      </c>
    </row>
    <row r="75" spans="1:30">
      <c r="A75" s="16" t="s">
        <v>47</v>
      </c>
      <c r="B75" s="46">
        <f>SUM(Calculations!$R$14:$R$16)/12</f>
        <v>553.3333333333334</v>
      </c>
      <c r="C75" s="46">
        <f>SUM(Calculations!$R$14:$R$16)/12</f>
        <v>553.3333333333334</v>
      </c>
      <c r="D75" s="46">
        <f>SUM(Calculations!$R$14:$R$16)/12</f>
        <v>553.3333333333334</v>
      </c>
      <c r="E75" s="46">
        <f>SUM(Calculations!$R$14:$R$16)/12</f>
        <v>553.3333333333334</v>
      </c>
      <c r="F75" s="46">
        <f>SUM(Calculations!$R$14:$R$16)/12</f>
        <v>553.3333333333334</v>
      </c>
      <c r="G75" s="46">
        <f>SUM(Calculations!$R$14:$R$16)/12</f>
        <v>553.3333333333334</v>
      </c>
      <c r="H75" s="46">
        <f>SUM(Calculations!$R$14:$R$16)/12</f>
        <v>553.3333333333334</v>
      </c>
      <c r="I75" s="46">
        <f>SUM(Calculations!$R$14:$R$16)/12</f>
        <v>553.3333333333334</v>
      </c>
      <c r="J75" s="46">
        <f>SUM(Calculations!$R$14:$R$16)/12</f>
        <v>553.3333333333334</v>
      </c>
      <c r="K75" s="46">
        <f>SUM(Calculations!$R$14:$R$16)/12</f>
        <v>553.3333333333334</v>
      </c>
      <c r="L75" s="46">
        <f>SUM(Calculations!$R$14:$R$16)/12</f>
        <v>553.3333333333334</v>
      </c>
      <c r="M75" s="46">
        <f>SUM(Calculations!$R$14:$R$16)/12</f>
        <v>553.3333333333334</v>
      </c>
      <c r="N75" s="46">
        <f>SUM(Calculations!$R$14:$R$16)/12</f>
        <v>553.3333333333334</v>
      </c>
      <c r="O75" s="46">
        <f>SUM(Calculations!$R$14:$R$16)/12</f>
        <v>553.3333333333334</v>
      </c>
      <c r="P75" s="46">
        <f>SUM(Calculations!$R$14:$R$16)/12</f>
        <v>553.3333333333334</v>
      </c>
      <c r="Q75" s="46">
        <f>SUM(Calculations!$R$14:$R$16)/12</f>
        <v>553.3333333333334</v>
      </c>
      <c r="R75" s="46">
        <f>SUM(Calculations!$R$14:$R$16)/12</f>
        <v>553.3333333333334</v>
      </c>
      <c r="S75" s="46">
        <f>SUM(Calculations!$R$14:$R$16)/12</f>
        <v>553.3333333333334</v>
      </c>
      <c r="T75" s="46">
        <f>SUM(Calculations!$R$14:$R$16)/12</f>
        <v>553.3333333333334</v>
      </c>
      <c r="U75" s="46">
        <f>SUM(Calculations!$R$14:$R$16)/12</f>
        <v>553.3333333333334</v>
      </c>
      <c r="V75" s="46">
        <f>SUM(Calculations!$R$14:$R$16)/12</f>
        <v>553.3333333333334</v>
      </c>
      <c r="W75" s="46">
        <f>SUM(Calculations!$R$14:$R$16)/12</f>
        <v>553.3333333333334</v>
      </c>
      <c r="X75" s="46">
        <f>SUM(Calculations!$R$14:$R$16)/12</f>
        <v>553.3333333333334</v>
      </c>
      <c r="Y75" s="46">
        <f>SUM(Calculations!$R$14:$R$16)/12</f>
        <v>553.3333333333334</v>
      </c>
      <c r="Z75" s="46">
        <f>SUMIF($B$13:$Y$13,"Yes",B75:Y75)</f>
        <v>7193.333333333332</v>
      </c>
      <c r="AA75" s="46">
        <f>SUM(B75:M75)</f>
        <v>6639.999999999999</v>
      </c>
      <c r="AB75" s="46">
        <f>SUM(B75:Y75)</f>
        <v>13280</v>
      </c>
    </row>
    <row r="76" spans="1:30">
      <c r="A76" s="16" t="s">
        <v>48</v>
      </c>
      <c r="B76" s="46">
        <f>SUM(Calculations!$S$14:$S$16)/12</f>
        <v>845.4730576441102</v>
      </c>
      <c r="C76" s="46">
        <f>SUM(Calculations!$S$14:$S$16)/12</f>
        <v>845.4730576441102</v>
      </c>
      <c r="D76" s="46">
        <f>SUM(Calculations!$S$14:$S$16)/12</f>
        <v>845.4730576441102</v>
      </c>
      <c r="E76" s="46">
        <f>SUM(Calculations!$S$14:$S$16)/12</f>
        <v>845.4730576441102</v>
      </c>
      <c r="F76" s="46">
        <f>SUM(Calculations!$S$14:$S$16)/12</f>
        <v>845.4730576441102</v>
      </c>
      <c r="G76" s="46">
        <f>SUM(Calculations!$S$14:$S$16)/12</f>
        <v>845.4730576441102</v>
      </c>
      <c r="H76" s="46">
        <f>SUM(Calculations!$S$14:$S$16)/12</f>
        <v>845.4730576441102</v>
      </c>
      <c r="I76" s="46">
        <f>SUM(Calculations!$S$14:$S$16)/12</f>
        <v>845.4730576441102</v>
      </c>
      <c r="J76" s="46">
        <f>SUM(Calculations!$S$14:$S$16)/12</f>
        <v>845.4730576441102</v>
      </c>
      <c r="K76" s="46">
        <f>SUM(Calculations!$S$14:$S$16)/12</f>
        <v>845.4730576441102</v>
      </c>
      <c r="L76" s="46">
        <f>SUM(Calculations!$S$14:$S$16)/12</f>
        <v>845.4730576441102</v>
      </c>
      <c r="M76" s="46">
        <f>SUM(Calculations!$S$14:$S$16)/12</f>
        <v>845.4730576441102</v>
      </c>
      <c r="N76" s="46">
        <f>SUM(Calculations!$S$14:$S$16)/12</f>
        <v>845.4730576441102</v>
      </c>
      <c r="O76" s="46">
        <f>SUM(Calculations!$S$14:$S$16)/12</f>
        <v>845.4730576441102</v>
      </c>
      <c r="P76" s="46">
        <f>SUM(Calculations!$S$14:$S$16)/12</f>
        <v>845.4730576441102</v>
      </c>
      <c r="Q76" s="46">
        <f>SUM(Calculations!$S$14:$S$16)/12</f>
        <v>845.4730576441102</v>
      </c>
      <c r="R76" s="46">
        <f>SUM(Calculations!$S$14:$S$16)/12</f>
        <v>845.4730576441102</v>
      </c>
      <c r="S76" s="46">
        <f>SUM(Calculations!$S$14:$S$16)/12</f>
        <v>845.4730576441102</v>
      </c>
      <c r="T76" s="46">
        <f>SUM(Calculations!$S$14:$S$16)/12</f>
        <v>845.4730576441102</v>
      </c>
      <c r="U76" s="46">
        <f>SUM(Calculations!$S$14:$S$16)/12</f>
        <v>845.4730576441102</v>
      </c>
      <c r="V76" s="46">
        <f>SUM(Calculations!$S$14:$S$16)/12</f>
        <v>845.4730576441102</v>
      </c>
      <c r="W76" s="46">
        <f>SUM(Calculations!$S$14:$S$16)/12</f>
        <v>845.4730576441102</v>
      </c>
      <c r="X76" s="46">
        <f>SUM(Calculations!$S$14:$S$16)/12</f>
        <v>845.4730576441102</v>
      </c>
      <c r="Y76" s="46">
        <f>SUM(Calculations!$S$14:$S$16)/12</f>
        <v>845.4730576441102</v>
      </c>
      <c r="Z76" s="46">
        <f>SUMIF($B$13:$Y$13,"Yes",B76:Y76)</f>
        <v>10991.14974937344</v>
      </c>
      <c r="AA76" s="46">
        <f>SUM(B76:M76)</f>
        <v>10145.67669172933</v>
      </c>
      <c r="AB76" s="46">
        <f>SUM(B76:Y76)</f>
        <v>20291.35338345865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55000</v>
      </c>
      <c r="C79" s="46">
        <f>Inputs!$B$31</f>
        <v>55000</v>
      </c>
      <c r="D79" s="46">
        <f>Inputs!$B$31</f>
        <v>55000</v>
      </c>
      <c r="E79" s="46">
        <f>Inputs!$B$31</f>
        <v>55000</v>
      </c>
      <c r="F79" s="46">
        <f>Inputs!$B$31</f>
        <v>55000</v>
      </c>
      <c r="G79" s="46">
        <f>Inputs!$B$31</f>
        <v>55000</v>
      </c>
      <c r="H79" s="46">
        <f>Inputs!$B$31</f>
        <v>55000</v>
      </c>
      <c r="I79" s="46">
        <f>Inputs!$B$31</f>
        <v>55000</v>
      </c>
      <c r="J79" s="46">
        <f>Inputs!$B$31</f>
        <v>55000</v>
      </c>
      <c r="K79" s="46">
        <f>Inputs!$B$31</f>
        <v>55000</v>
      </c>
      <c r="L79" s="46">
        <f>Inputs!$B$31</f>
        <v>55000</v>
      </c>
      <c r="M79" s="46">
        <f>Inputs!$B$31</f>
        <v>55000</v>
      </c>
      <c r="N79" s="46">
        <f>Inputs!$B$31</f>
        <v>55000</v>
      </c>
      <c r="O79" s="46">
        <f>Inputs!$B$31</f>
        <v>55000</v>
      </c>
      <c r="P79" s="46">
        <f>Inputs!$B$31</f>
        <v>55000</v>
      </c>
      <c r="Q79" s="46">
        <f>Inputs!$B$31</f>
        <v>55000</v>
      </c>
      <c r="R79" s="46">
        <f>Inputs!$B$31</f>
        <v>55000</v>
      </c>
      <c r="S79" s="46">
        <f>Inputs!$B$31</f>
        <v>55000</v>
      </c>
      <c r="T79" s="46">
        <f>Inputs!$B$31</f>
        <v>55000</v>
      </c>
      <c r="U79" s="46">
        <f>Inputs!$B$31</f>
        <v>55000</v>
      </c>
      <c r="V79" s="46">
        <f>Inputs!$B$31</f>
        <v>55000</v>
      </c>
      <c r="W79" s="46">
        <f>Inputs!$B$31</f>
        <v>55000</v>
      </c>
      <c r="X79" s="46">
        <f>Inputs!$B$31</f>
        <v>55000</v>
      </c>
      <c r="Y79" s="46">
        <f>Inputs!$B$31</f>
        <v>55000</v>
      </c>
      <c r="Z79" s="46">
        <f>SUMIF($B$13:$Y$13,"Yes",B79:Y79)</f>
        <v>715000</v>
      </c>
      <c r="AA79" s="46">
        <f>SUM(B79:M79)</f>
        <v>660000</v>
      </c>
      <c r="AB79" s="46">
        <f>SUM(B79:Y79)</f>
        <v>1320000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25257.14411027569</v>
      </c>
      <c r="C81" s="46">
        <f>(SUM($AA$18:$AA$29)-SUM($AA$36,$AA$42,$AA$48,$AA$54,$AA$60,$AA$66,$AA$72:$AA$79))*Parameters!$B$37/12</f>
        <v>25257.14411027569</v>
      </c>
      <c r="D81" s="46">
        <f>(SUM($AA$18:$AA$29)-SUM($AA$36,$AA$42,$AA$48,$AA$54,$AA$60,$AA$66,$AA$72:$AA$79))*Parameters!$B$37/12</f>
        <v>25257.14411027569</v>
      </c>
      <c r="E81" s="46">
        <f>(SUM($AA$18:$AA$29)-SUM($AA$36,$AA$42,$AA$48,$AA$54,$AA$60,$AA$66,$AA$72:$AA$79))*Parameters!$B$37/12</f>
        <v>25257.14411027569</v>
      </c>
      <c r="F81" s="46">
        <f>(SUM($AA$18:$AA$29)-SUM($AA$36,$AA$42,$AA$48,$AA$54,$AA$60,$AA$66,$AA$72:$AA$79))*Parameters!$B$37/12</f>
        <v>25257.14411027569</v>
      </c>
      <c r="G81" s="46">
        <f>(SUM($AA$18:$AA$29)-SUM($AA$36,$AA$42,$AA$48,$AA$54,$AA$60,$AA$66,$AA$72:$AA$79))*Parameters!$B$37/12</f>
        <v>25257.14411027569</v>
      </c>
      <c r="H81" s="46">
        <f>(SUM($AA$18:$AA$29)-SUM($AA$36,$AA$42,$AA$48,$AA$54,$AA$60,$AA$66,$AA$72:$AA$79))*Parameters!$B$37/12</f>
        <v>25257.14411027569</v>
      </c>
      <c r="I81" s="46">
        <f>(SUM($AA$18:$AA$29)-SUM($AA$36,$AA$42,$AA$48,$AA$54,$AA$60,$AA$66,$AA$72:$AA$79))*Parameters!$B$37/12</f>
        <v>25257.14411027569</v>
      </c>
      <c r="J81" s="46">
        <f>(SUM($AA$18:$AA$29)-SUM($AA$36,$AA$42,$AA$48,$AA$54,$AA$60,$AA$66,$AA$72:$AA$79))*Parameters!$B$37/12</f>
        <v>25257.14411027569</v>
      </c>
      <c r="K81" s="46">
        <f>(SUM($AA$18:$AA$29)-SUM($AA$36,$AA$42,$AA$48,$AA$54,$AA$60,$AA$66,$AA$72:$AA$79))*Parameters!$B$37/12</f>
        <v>25257.14411027569</v>
      </c>
      <c r="L81" s="46">
        <f>(SUM($AA$18:$AA$29)-SUM($AA$36,$AA$42,$AA$48,$AA$54,$AA$60,$AA$66,$AA$72:$AA$79))*Parameters!$B$37/12</f>
        <v>25257.14411027569</v>
      </c>
      <c r="M81" s="46">
        <f>(SUM($AA$18:$AA$29)-SUM($AA$36,$AA$42,$AA$48,$AA$54,$AA$60,$AA$66,$AA$72:$AA$79))*Parameters!$B$37/12</f>
        <v>25257.14411027569</v>
      </c>
      <c r="N81" s="46">
        <f>(SUM($AA$18:$AA$29)-SUM($AA$36,$AA$42,$AA$48,$AA$54,$AA$60,$AA$66,$AA$72:$AA$79))*Parameters!$B$37/12</f>
        <v>25257.14411027569</v>
      </c>
      <c r="O81" s="46">
        <f>(SUM($AA$18:$AA$29)-SUM($AA$36,$AA$42,$AA$48,$AA$54,$AA$60,$AA$66,$AA$72:$AA$79))*Parameters!$B$37/12</f>
        <v>25257.14411027569</v>
      </c>
      <c r="P81" s="46">
        <f>(SUM($AA$18:$AA$29)-SUM($AA$36,$AA$42,$AA$48,$AA$54,$AA$60,$AA$66,$AA$72:$AA$79))*Parameters!$B$37/12</f>
        <v>25257.14411027569</v>
      </c>
      <c r="Q81" s="46">
        <f>(SUM($AA$18:$AA$29)-SUM($AA$36,$AA$42,$AA$48,$AA$54,$AA$60,$AA$66,$AA$72:$AA$79))*Parameters!$B$37/12</f>
        <v>25257.14411027569</v>
      </c>
      <c r="R81" s="46">
        <f>(SUM($AA$18:$AA$29)-SUM($AA$36,$AA$42,$AA$48,$AA$54,$AA$60,$AA$66,$AA$72:$AA$79))*Parameters!$B$37/12</f>
        <v>25257.14411027569</v>
      </c>
      <c r="S81" s="46">
        <f>(SUM($AA$18:$AA$29)-SUM($AA$36,$AA$42,$AA$48,$AA$54,$AA$60,$AA$66,$AA$72:$AA$79))*Parameters!$B$37/12</f>
        <v>25257.14411027569</v>
      </c>
      <c r="T81" s="46">
        <f>(SUM($AA$18:$AA$29)-SUM($AA$36,$AA$42,$AA$48,$AA$54,$AA$60,$AA$66,$AA$72:$AA$79))*Parameters!$B$37/12</f>
        <v>25257.14411027569</v>
      </c>
      <c r="U81" s="46">
        <f>(SUM($AA$18:$AA$29)-SUM($AA$36,$AA$42,$AA$48,$AA$54,$AA$60,$AA$66,$AA$72:$AA$79))*Parameters!$B$37/12</f>
        <v>25257.14411027569</v>
      </c>
      <c r="V81" s="46">
        <f>(SUM($AA$18:$AA$29)-SUM($AA$36,$AA$42,$AA$48,$AA$54,$AA$60,$AA$66,$AA$72:$AA$79))*Parameters!$B$37/12</f>
        <v>25257.14411027569</v>
      </c>
      <c r="W81" s="46">
        <f>(SUM($AA$18:$AA$29)-SUM($AA$36,$AA$42,$AA$48,$AA$54,$AA$60,$AA$66,$AA$72:$AA$79))*Parameters!$B$37/12</f>
        <v>25257.14411027569</v>
      </c>
      <c r="X81" s="46">
        <f>(SUM($AA$18:$AA$29)-SUM($AA$36,$AA$42,$AA$48,$AA$54,$AA$60,$AA$66,$AA$72:$AA$79))*Parameters!$B$37/12</f>
        <v>25257.14411027569</v>
      </c>
      <c r="Y81" s="46">
        <f>(SUM($AA$18:$AA$29)-SUM($AA$36,$AA$42,$AA$48,$AA$54,$AA$60,$AA$66,$AA$72:$AA$79))*Parameters!$B$37/12</f>
        <v>25257.14411027569</v>
      </c>
      <c r="Z81" s="46">
        <f>SUMIF($B$13:$Y$13,"Yes",B81:Y81)</f>
        <v>328342.8734335839</v>
      </c>
      <c r="AA81" s="46">
        <f>SUM(B81:M81)</f>
        <v>303085.7293233083</v>
      </c>
      <c r="AB81" s="46">
        <f>SUM(B81:Y81)</f>
        <v>606171.4586466163</v>
      </c>
    </row>
    <row r="82" spans="1:30">
      <c r="A82" s="16" t="s">
        <v>52</v>
      </c>
      <c r="B82" s="46">
        <f>SUM(B83:B87)</f>
        <v>22827.14970880438</v>
      </c>
      <c r="C82" s="46">
        <f>SUM(C83:C87)</f>
        <v>22827.14970880438</v>
      </c>
      <c r="D82" s="46">
        <f>SUM(D83:D87)</f>
        <v>22827.14970880438</v>
      </c>
      <c r="E82" s="46">
        <f>SUM(E83:E87)</f>
        <v>22827.14970880438</v>
      </c>
      <c r="F82" s="46">
        <f>SUM(F83:F87)</f>
        <v>22827.14970880438</v>
      </c>
      <c r="G82" s="46">
        <f>SUM(G83:G87)</f>
        <v>22827.14970880438</v>
      </c>
      <c r="H82" s="46">
        <f>SUM(H83:H87)</f>
        <v>22827.14970880438</v>
      </c>
      <c r="I82" s="46">
        <f>SUM(I83:I87)</f>
        <v>22827.14970880438</v>
      </c>
      <c r="J82" s="46">
        <f>SUM(J83:J87)</f>
        <v>22827.14970880438</v>
      </c>
      <c r="K82" s="46">
        <f>SUM(K83:K87)</f>
        <v>22827.14970880438</v>
      </c>
      <c r="L82" s="46">
        <f>SUM(L83:L87)</f>
        <v>22827.14970880438</v>
      </c>
      <c r="M82" s="46">
        <f>SUM(M83:M87)</f>
        <v>22827.14970880438</v>
      </c>
      <c r="N82" s="46">
        <f>SUM(N83:N87)</f>
        <v>22827.14970880438</v>
      </c>
      <c r="O82" s="46">
        <f>SUM(O83:O87)</f>
        <v>22827.14970880438</v>
      </c>
      <c r="P82" s="46">
        <f>SUM(P83:P87)</f>
        <v>22827.14970880438</v>
      </c>
      <c r="Q82" s="46">
        <f>SUM(Q83:Q87)</f>
        <v>22827.14970880438</v>
      </c>
      <c r="R82" s="46">
        <f>SUM(R83:R87)</f>
        <v>19108.93799246316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296752.946214457</v>
      </c>
      <c r="AA82" s="46">
        <f>SUM(B82:M82)</f>
        <v>273925.7965056526</v>
      </c>
      <c r="AB82" s="46">
        <f>SUM(B82:Y82)</f>
        <v>384343.3333333333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22827.14970880438</v>
      </c>
      <c r="C83" s="46">
        <f>IF(Calculations!$E23&gt;COUNT(Output!$B$35:C$35),Calculations!$B23,IF(Calculations!$E23=COUNT(Output!$B$35:C$35),Inputs!$B56-Calculations!$C23*(Calculations!$E23-1)+Calculations!$D23,0))</f>
        <v>22827.14970880438</v>
      </c>
      <c r="D83" s="46">
        <f>IF(Calculations!$E23&gt;COUNT(Output!$B$35:D$35),Calculations!$B23,IF(Calculations!$E23=COUNT(Output!$B$35:D$35),Inputs!$B56-Calculations!$C23*(Calculations!$E23-1)+Calculations!$D23,0))</f>
        <v>22827.14970880438</v>
      </c>
      <c r="E83" s="46">
        <f>IF(Calculations!$E23&gt;COUNT(Output!$B$35:E$35),Calculations!$B23,IF(Calculations!$E23=COUNT(Output!$B$35:E$35),Inputs!$B56-Calculations!$C23*(Calculations!$E23-1)+Calculations!$D23,0))</f>
        <v>22827.14970880438</v>
      </c>
      <c r="F83" s="46">
        <f>IF(Calculations!$E23&gt;COUNT(Output!$B$35:F$35),Calculations!$B23,IF(Calculations!$E23=COUNT(Output!$B$35:F$35),Inputs!$B56-Calculations!$C23*(Calculations!$E23-1)+Calculations!$D23,0))</f>
        <v>22827.14970880438</v>
      </c>
      <c r="G83" s="46">
        <f>IF(Calculations!$E23&gt;COUNT(Output!$B$35:G$35),Calculations!$B23,IF(Calculations!$E23=COUNT(Output!$B$35:G$35),Inputs!$B56-Calculations!$C23*(Calculations!$E23-1)+Calculations!$D23,0))</f>
        <v>22827.14970880438</v>
      </c>
      <c r="H83" s="46">
        <f>IF(Calculations!$E23&gt;COUNT(Output!$B$35:H$35),Calculations!$B23,IF(Calculations!$E23=COUNT(Output!$B$35:H$35),Inputs!$B56-Calculations!$C23*(Calculations!$E23-1)+Calculations!$D23,0))</f>
        <v>22827.14970880438</v>
      </c>
      <c r="I83" s="46">
        <f>IF(Calculations!$E23&gt;COUNT(Output!$B$35:I$35),Calculations!$B23,IF(Calculations!$E23=COUNT(Output!$B$35:I$35),Inputs!$B56-Calculations!$C23*(Calculations!$E23-1)+Calculations!$D23,0))</f>
        <v>22827.14970880438</v>
      </c>
      <c r="J83" s="46">
        <f>IF(Calculations!$E23&gt;COUNT(Output!$B$35:J$35),Calculations!$B23,IF(Calculations!$E23=COUNT(Output!$B$35:J$35),Inputs!$B56-Calculations!$C23*(Calculations!$E23-1)+Calculations!$D23,0))</f>
        <v>22827.14970880438</v>
      </c>
      <c r="K83" s="46">
        <f>IF(Calculations!$E23&gt;COUNT(Output!$B$35:K$35),Calculations!$B23,IF(Calculations!$E23=COUNT(Output!$B$35:K$35),Inputs!$B56-Calculations!$C23*(Calculations!$E23-1)+Calculations!$D23,0))</f>
        <v>22827.14970880438</v>
      </c>
      <c r="L83" s="46">
        <f>IF(Calculations!$E23&gt;COUNT(Output!$B$35:L$35),Calculations!$B23,IF(Calculations!$E23=COUNT(Output!$B$35:L$35),Inputs!$B56-Calculations!$C23*(Calculations!$E23-1)+Calculations!$D23,0))</f>
        <v>22827.14970880438</v>
      </c>
      <c r="M83" s="46">
        <f>IF(Calculations!$E23&gt;COUNT(Output!$B$35:M$35),Calculations!$B23,IF(Calculations!$E23=COUNT(Output!$B$35:M$35),Inputs!$B56-Calculations!$C23*(Calculations!$E23-1)+Calculations!$D23,0))</f>
        <v>22827.14970880438</v>
      </c>
      <c r="N83" s="46">
        <f>IF(Calculations!$E23&gt;COUNT(Output!$B$35:N$35),Calculations!$B23,IF(Calculations!$E23=COUNT(Output!$B$35:N$35),Inputs!$B56-Calculations!$C23*(Calculations!$E23-1)+Calculations!$D23,0))</f>
        <v>22827.14970880438</v>
      </c>
      <c r="O83" s="46">
        <f>IF(Calculations!$E23&gt;COUNT(Output!$B$35:O$35),Calculations!$B23,IF(Calculations!$E23=COUNT(Output!$B$35:O$35),Inputs!$B56-Calculations!$C23*(Calculations!$E23-1)+Calculations!$D23,0))</f>
        <v>22827.14970880438</v>
      </c>
      <c r="P83" s="46">
        <f>IF(Calculations!$E23&gt;COUNT(Output!$B$35:P$35),Calculations!$B23,IF(Calculations!$E23=COUNT(Output!$B$35:P$35),Inputs!$B56-Calculations!$C23*(Calculations!$E23-1)+Calculations!$D23,0))</f>
        <v>22827.14970880438</v>
      </c>
      <c r="Q83" s="46">
        <f>IF(Calculations!$E23&gt;COUNT(Output!$B$35:Q$35),Calculations!$B23,IF(Calculations!$E23=COUNT(Output!$B$35:Q$35),Inputs!$B56-Calculations!$C23*(Calculations!$E23-1)+Calculations!$D23,0))</f>
        <v>22827.14970880438</v>
      </c>
      <c r="R83" s="46">
        <f>IF(Calculations!$E23&gt;COUNT(Output!$B$35:R$35),Calculations!$B23,IF(Calculations!$E23=COUNT(Output!$B$35:R$35),Inputs!$B56-Calculations!$C23*(Calculations!$E23-1)+Calculations!$D23,0))</f>
        <v>19108.93799246316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296752.946214457</v>
      </c>
      <c r="AA83" s="46">
        <f>SUM(B83:M83)</f>
        <v>273925.7965056526</v>
      </c>
      <c r="AB83" s="46">
        <f>SUM(B83:Y83)</f>
        <v>384343.3333333333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110566.4335433909</v>
      </c>
      <c r="C88" s="19">
        <f>SUM(C72:C82,C66,C60,C54,C48,C42,C36)</f>
        <v>182566.4335433909</v>
      </c>
      <c r="D88" s="19">
        <f>SUM(D72:D82,D66,D60,D54,D48,D42,D36)</f>
        <v>110566.4335433909</v>
      </c>
      <c r="E88" s="19">
        <f>SUM(E72:E82,E66,E60,E54,E48,E42,E36)</f>
        <v>110566.4335433909</v>
      </c>
      <c r="F88" s="19">
        <f>SUM(F72:F82,F66,F60,F54,F48,F42,F36)</f>
        <v>110566.4335433909</v>
      </c>
      <c r="G88" s="19">
        <f>SUM(G72:G82,G66,G60,G54,G48,G42,G36)</f>
        <v>110566.4335433909</v>
      </c>
      <c r="H88" s="19">
        <f>SUM(H72:H82,H66,H60,H54,H48,H42,H36)</f>
        <v>110566.4335433909</v>
      </c>
      <c r="I88" s="19">
        <f>SUM(I72:I82,I66,I60,I54,I48,I42,I36)</f>
        <v>110566.4335433909</v>
      </c>
      <c r="J88" s="19">
        <f>SUM(J72:J82,J66,J60,J54,J48,J42,J36)</f>
        <v>110566.4335433909</v>
      </c>
      <c r="K88" s="19">
        <f>SUM(K72:K82,K66,K60,K54,K48,K42,K36)</f>
        <v>110566.4335433909</v>
      </c>
      <c r="L88" s="19">
        <f>SUM(L72:L82,L66,L60,L54,L48,L42,L36)</f>
        <v>110566.4335433909</v>
      </c>
      <c r="M88" s="19">
        <f>SUM(M72:M82,M66,M60,M54,M48,M42,M36)</f>
        <v>110566.4335433909</v>
      </c>
      <c r="N88" s="19">
        <f>SUM(N72:N82,N66,N60,N54,N48,N42,N36)</f>
        <v>110566.4335433909</v>
      </c>
      <c r="O88" s="19">
        <f>SUM(O72:O82,O66,O60,O54,O48,O42,O36)</f>
        <v>182566.4335433909</v>
      </c>
      <c r="P88" s="19">
        <f>SUM(P72:P82,P66,P60,P54,P48,P42,P36)</f>
        <v>110566.4335433909</v>
      </c>
      <c r="Q88" s="19">
        <f>SUM(Q72:Q82,Q66,Q60,Q54,Q48,Q42,Q36)</f>
        <v>110566.4335433909</v>
      </c>
      <c r="R88" s="19">
        <f>SUM(R72:R82,R66,R60,R54,R48,R42,R36)</f>
        <v>106848.2218270496</v>
      </c>
      <c r="S88" s="19">
        <f>SUM(S72:S82,S66,S60,S54,S48,S42,S36)</f>
        <v>87739.28383458647</v>
      </c>
      <c r="T88" s="19">
        <f>SUM(T72:T82,T66,T60,T54,T48,T42,T36)</f>
        <v>87739.28383458647</v>
      </c>
      <c r="U88" s="19">
        <f>SUM(U72:U82,U66,U60,U54,U48,U42,U36)</f>
        <v>87739.28383458647</v>
      </c>
      <c r="V88" s="19">
        <f>SUM(V72:V82,V66,V60,V54,V48,V42,V36)</f>
        <v>87739.28383458647</v>
      </c>
      <c r="W88" s="19">
        <f>SUM(W72:W82,W66,W60,W54,W48,W42,W36)</f>
        <v>87739.28383458647</v>
      </c>
      <c r="X88" s="19">
        <f>SUM(X72:X82,X66,X60,X54,X48,X42,X36)</f>
        <v>87739.28383458647</v>
      </c>
      <c r="Y88" s="19">
        <f>SUM(Y72:Y82,Y66,Y60,Y54,Y48,Y42,Y36)</f>
        <v>87739.28383458647</v>
      </c>
      <c r="Z88" s="19">
        <f>SUMIF($B$13:$Y$13,"Yes",B88:Y88)</f>
        <v>1509363.636064081</v>
      </c>
      <c r="AA88" s="19">
        <f>SUM(B88:M88)</f>
        <v>1398797.20252069</v>
      </c>
      <c r="AB88" s="19">
        <f>SUM(B88:Y88)</f>
        <v>2634086.145363408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280000</v>
      </c>
    </row>
    <row r="96" spans="1:30">
      <c r="A96" t="s">
        <v>62</v>
      </c>
      <c r="B96" s="36">
        <f>SUMPRODUCT(Inputs!C19:C21,Calculations!O14:O16)</f>
        <v>65000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725000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200460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350460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125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75</v>
      </c>
      <c r="D20" s="147">
        <v>75</v>
      </c>
      <c r="E20" s="16"/>
      <c r="F20" s="147" t="s">
        <v>103</v>
      </c>
      <c r="G20" s="16"/>
      <c r="H20" s="16"/>
      <c r="I20" s="147" t="s">
        <v>104</v>
      </c>
      <c r="J20" s="147">
        <v>5</v>
      </c>
      <c r="K20" s="147">
        <v>100</v>
      </c>
      <c r="L20" s="30">
        <v>1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80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95000</v>
      </c>
    </row>
    <row r="31" spans="1:48">
      <c r="A31" s="5" t="s">
        <v>112</v>
      </c>
      <c r="B31" s="158">
        <v>55000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120</v>
      </c>
    </row>
    <row r="41" spans="1:48">
      <c r="A41" s="55" t="s">
        <v>121</v>
      </c>
      <c r="B41" s="140">
        <v>72000</v>
      </c>
    </row>
    <row r="42" spans="1:48">
      <c r="A42" s="55" t="s">
        <v>122</v>
      </c>
      <c r="B42" s="139" t="s">
        <v>123</v>
      </c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120</v>
      </c>
    </row>
    <row r="45" spans="1:48">
      <c r="A45" s="56" t="s">
        <v>127</v>
      </c>
      <c r="B45" s="161"/>
    </row>
    <row r="46" spans="1:48" customHeight="1" ht="30">
      <c r="A46" s="57" t="s">
        <v>128</v>
      </c>
      <c r="B46" s="161">
        <v>350000</v>
      </c>
    </row>
    <row r="47" spans="1:48" customHeight="1" ht="30">
      <c r="A47" s="57" t="s">
        <v>129</v>
      </c>
      <c r="B47" s="161">
        <v>280000</v>
      </c>
    </row>
    <row r="48" spans="1:48" customHeight="1" ht="30">
      <c r="A48" s="57" t="s">
        <v>130</v>
      </c>
      <c r="B48" s="161">
        <v>0</v>
      </c>
    </row>
    <row r="49" spans="1:48" customHeight="1" ht="30">
      <c r="A49" s="57" t="s">
        <v>131</v>
      </c>
      <c r="B49" s="161">
        <v>30000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590000</v>
      </c>
      <c r="B56" s="159">
        <v>200460</v>
      </c>
      <c r="C56" s="162" t="s">
        <v>140</v>
      </c>
      <c r="D56" s="163" t="s">
        <v>141</v>
      </c>
      <c r="E56" s="163" t="s">
        <v>103</v>
      </c>
      <c r="F56" s="163" t="s">
        <v>142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144</v>
      </c>
      <c r="C65" s="10" t="s">
        <v>145</v>
      </c>
    </row>
    <row r="66" spans="1:48">
      <c r="A66" s="142" t="s">
        <v>146</v>
      </c>
      <c r="B66" s="159">
        <v>138852</v>
      </c>
      <c r="C66" s="163">
        <v>198651</v>
      </c>
      <c r="D66" s="49">
        <f>INDEX(Parameters!$D$79:$D$90,MATCH(Inputs!A66,Parameters!$C$79:$C$90,0))</f>
        <v>10</v>
      </c>
    </row>
    <row r="67" spans="1:48">
      <c r="A67" s="143" t="s">
        <v>147</v>
      </c>
      <c r="B67" s="157">
        <v>216624</v>
      </c>
      <c r="C67" s="165">
        <v>207552</v>
      </c>
      <c r="D67" s="49">
        <f>INDEX(Parameters!$D$79:$D$90,MATCH(Inputs!A67,Parameters!$C$79:$C$90,0))</f>
        <v>9</v>
      </c>
    </row>
    <row r="68" spans="1:48">
      <c r="A68" s="143" t="s">
        <v>148</v>
      </c>
      <c r="B68" s="157">
        <v>32108</v>
      </c>
      <c r="C68" s="165">
        <v>28112</v>
      </c>
      <c r="D68" s="49">
        <f>INDEX(Parameters!$D$79:$D$90,MATCH(Inputs!A68,Parameters!$C$79:$C$90,0))</f>
        <v>8</v>
      </c>
    </row>
    <row r="69" spans="1:48">
      <c r="A69" s="143" t="s">
        <v>149</v>
      </c>
      <c r="B69" s="157">
        <v>203700</v>
      </c>
      <c r="C69" s="165">
        <v>182108</v>
      </c>
      <c r="D69" s="49">
        <f>INDEX(Parameters!$D$79:$D$90,MATCH(Inputs!A69,Parameters!$C$79:$C$90,0))</f>
        <v>7</v>
      </c>
    </row>
    <row r="70" spans="1:48">
      <c r="A70" s="143" t="s">
        <v>150</v>
      </c>
      <c r="B70" s="157">
        <v>228931</v>
      </c>
      <c r="C70" s="165">
        <v>210887</v>
      </c>
      <c r="D70" s="49">
        <f>INDEX(Parameters!$D$79:$D$90,MATCH(Inputs!A70,Parameters!$C$79:$C$90,0))</f>
        <v>6</v>
      </c>
    </row>
    <row r="71" spans="1:48">
      <c r="A71" s="144" t="s">
        <v>151</v>
      </c>
      <c r="B71" s="158">
        <v>132087</v>
      </c>
      <c r="C71" s="167">
        <v>116113</v>
      </c>
      <c r="D71" s="49">
        <f>INDEX(Parameters!$D$79:$D$90,MATCH(Inputs!A71,Parameters!$C$79:$C$90,0))</f>
        <v>5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23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150000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125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330000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6000</v>
      </c>
      <c r="S14" s="63">
        <f>IFERROR(D14*INDEX(Parameters!$A$22:$P$29,MATCH(Calculations!$A14,Parameters!$A$22:$A$29,0),MATCH(Parameters!$N$22,Parameters!$A$22:$P$22,0)),"")</f>
        <v>5000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75</v>
      </c>
      <c r="E15" s="16">
        <f>Inputs!D20</f>
        <v>75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1.166666666666667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0.5263157894736842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0.05</v>
      </c>
      <c r="N15" s="130">
        <f>Inputs!K20/100</f>
        <v>1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109500</v>
      </c>
      <c r="Q15" s="64">
        <f>IFERROR(D15*INDEX(Parameters!$A$22:$P$29,MATCH(Calculations!$A15,Parameters!$A$22:$A$29,0),MATCH(Parameters!$L$22,Parameters!$A$22:$P$22,0))*IF(Inputs!I20="Always",1,IF(Inputs!I20="Sometimes",0.5,0))*365,"")</f>
        <v>27375</v>
      </c>
      <c r="R15" s="64">
        <f>IFERROR(D15*INDEX(Parameters!$A$22:$P$29,MATCH(Calculations!$A15,Parameters!$A$22:$A$29,0),MATCH(Parameters!$M$22,Parameters!$A$22:$P$22,0)),"")</f>
        <v>640</v>
      </c>
      <c r="S15" s="64">
        <f>IFERROR(D15*INDEX(Parameters!$A$22:$P$29,MATCH(Calculations!$A15,Parameters!$A$22:$A$29,0),MATCH(Parameters!$N$22,Parameters!$A$22:$P$22,0)),"")</f>
        <v>5145.676691729323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75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43586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13125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>590000</v>
      </c>
      <c r="B23" s="75">
        <f>SUM(C23:D23)</f>
        <v>22827.14970880438</v>
      </c>
      <c r="C23" s="75">
        <f>IF(Inputs!B56&gt;0,(Inputs!A56-Inputs!B56)/(DATE(YEAR(Inputs!$B$76),MONTH(Inputs!$B$76),DAY(Inputs!$B$76))-DATE(YEAR(Inputs!C56),MONTH(Inputs!C56),DAY(Inputs!C56)))*30,0)</f>
        <v>12010.48304213772</v>
      </c>
      <c r="D23" s="75">
        <f>IF(Inputs!B56&gt;0,Inputs!A56*0.22/12,0)</f>
        <v>10816.66666666667</v>
      </c>
      <c r="E23" s="75">
        <f>IFERROR(ROUNDUP(Inputs!B56/C23,0),0)</f>
        <v>17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43106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43101</v>
      </c>
      <c r="F33" t="s">
        <v>157</v>
      </c>
      <c r="G33" s="128">
        <f>IF(Inputs!B79="","",DATE(YEAR(Inputs!B79),MONTH(Inputs!B79),DAY(Inputs!B79)))</f>
        <v>43075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43137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43132</v>
      </c>
      <c r="F34" t="s">
        <v>158</v>
      </c>
      <c r="G34" s="128">
        <f>IF(Inputs!B80="","",DATE(YEAR(Inputs!B80),MONTH(Inputs!B80),DAY(Inputs!B80)))</f>
        <v>43106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43165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43160</v>
      </c>
      <c r="F35" t="s">
        <v>160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43196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43191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43226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43221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43257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43252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43287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43282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43318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43313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43349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43344</v>
      </c>
      <c r="F41" t="s">
        <v>224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43379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43374</v>
      </c>
      <c r="F42" t="s">
        <v>225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43410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43440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198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105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293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90</v>
      </c>
      <c r="B41" s="191" t="s">
        <v>120</v>
      </c>
      <c r="C41" s="191" t="s">
        <v>103</v>
      </c>
    </row>
    <row r="42" spans="1:36">
      <c r="A42" t="s">
        <v>105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311</v>
      </c>
      <c r="H52" s="12" t="s">
        <v>312</v>
      </c>
      <c r="I52" s="12" t="s">
        <v>125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226</v>
      </c>
      <c r="E53" s="10" t="s">
        <v>185</v>
      </c>
      <c r="F53" s="10" t="s">
        <v>245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120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120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120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120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120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120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120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163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222</v>
      </c>
      <c r="J76" s="11" t="s">
        <v>345</v>
      </c>
      <c r="K76" s="11" t="s">
        <v>175</v>
      </c>
      <c r="AJ76" s="12"/>
    </row>
    <row r="77" spans="1:36">
      <c r="A77" t="s">
        <v>103</v>
      </c>
      <c r="B77" s="176">
        <v>0</v>
      </c>
      <c r="C77" s="12" t="s">
        <v>346</v>
      </c>
      <c r="E77" s="12" t="s">
        <v>120</v>
      </c>
      <c r="F77" s="12" t="s">
        <v>120</v>
      </c>
      <c r="G77" s="12" t="s">
        <v>347</v>
      </c>
      <c r="H77" s="12" t="s">
        <v>312</v>
      </c>
      <c r="I77" s="12" t="s">
        <v>348</v>
      </c>
      <c r="J77" s="136" t="s">
        <v>349</v>
      </c>
      <c r="K77" s="12" t="s">
        <v>120</v>
      </c>
      <c r="AJ77" s="12"/>
    </row>
    <row r="78" spans="1:36">
      <c r="A78" t="s">
        <v>120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125</v>
      </c>
      <c r="I78" s="12" t="s">
        <v>354</v>
      </c>
      <c r="J78" s="70" t="s">
        <v>355</v>
      </c>
      <c r="K78" s="12" t="s">
        <v>120</v>
      </c>
      <c r="AJ78" s="12"/>
    </row>
    <row r="79" spans="1:36">
      <c r="B79" s="176">
        <v>10</v>
      </c>
      <c r="C79" s="12" t="s">
        <v>123</v>
      </c>
      <c r="D79" s="12">
        <v>1</v>
      </c>
      <c r="E79" s="12" t="s">
        <v>356</v>
      </c>
      <c r="F79" s="12" t="s">
        <v>357</v>
      </c>
      <c r="G79" s="12" t="s">
        <v>104</v>
      </c>
      <c r="I79" s="12" t="s">
        <v>163</v>
      </c>
      <c r="J79" s="70" t="s">
        <v>358</v>
      </c>
      <c r="K79" s="12" t="s">
        <v>120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103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103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149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147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