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<sst xmlns="http://schemas.openxmlformats.org/spreadsheetml/2006/main" uniqueCount="372">
  <si>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</si>
  <si>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</si>
  <si>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</si>
  <si>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</si>
  <si>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</si>
  <si>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</si>
  <si>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</si>
  <si>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</si>
  <si>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</si>
  <si>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</si>
  <si>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</si>
  <si>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</si>
  <si>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</si>
  <si>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</si>
  <si>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</si>
  <si>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</si>
  <si>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</si>
  <si>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</si>
  <si>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</si>
  <si>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</si>
  <si>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</si>
  <si>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</si>
  <si>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</si>
  <si>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</si>
  <si>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</si>
  <si>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</si>
  <si>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</si>
  <si>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</si>
  <si>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</si>
  <si>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</si>
  <si>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</si>
  <si>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</si>
  <si>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</si>
  <si>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</si>
  <si>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</si>
  <si>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</si>
  <si>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</si>
  <si>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</si>
  <si>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</si>
  <si>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</si>
  <si>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</si>
  <si>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</si>
  <si>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</si>
  <si>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</si>
  <si>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</si>
  <si>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</si>
  <si>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</si>
  <si>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</si>
  <si>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</si>
  <si>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</si>
  <si>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</si>
  <si>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</si>
  <si>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</si>
  <si>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</si>
  <si>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</si>
  <si>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</si>
  <si>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</si>
  <si>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</si>
  <si>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</si>
  <si>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</si>
  <si>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</si>
  <si>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</si>
  <si>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</si>
  <si>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</si>
  <si>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</si>
  <si>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</si>
  <si>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</si>
  <si>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</si>
  <si>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</si>
  <si>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</si>
  <si>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</si>
  <si>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</si>
  <si>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</si>
  <si>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</si>
  <si>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</si>
  <si>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</si>
  <si>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</si>
  <si>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</si>
  <si>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</si>
  <si>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</si>
  <si>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</si>
  <si>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</si>
  <si>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</si>
  <si>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</si>
  <si>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</si>
  <si>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</si>
  <si>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</si>
  <si>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</si>
  <si>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</si>
  <si>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</si>
  <si>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</si>
  <si>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</si>
  <si>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</si>
  <si>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</si>
  <si>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</si>
  <si>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</si>
  <si>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</si>
  <si>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</si>
  <si>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</si>
  <si>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</si>
  <si>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</si>
  <si>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</si>
  <si>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</si>
  <si>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</si>
  <si>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</si>
  <si>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</si>
  <si>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</si>
  <si>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</si>
  <si>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</si>
  <si>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</si>
  <si>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</si>
  <si>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</si>
  <si>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</si>
  <si>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 and Restraunt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</si>
  <si>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</si>
  <si>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</si>
  <si>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</si>
  <si>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</si>
  <si>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</si>
  <si>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</si>
  <si>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</si>
  <si>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</si>
  <si>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</si>
  <si>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</si>
  <si>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</si>
  <si>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</si>
  <si>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</si>
  <si>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</si>
  <si>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</si>
  <si>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</si>
  <si>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</si>
  <si>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</si>
  <si>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</si>
  <si>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</si>
  <si>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</si>
  <si>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</si>
  <si>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</si>
  <si>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</si>
  <si>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</si>
  <si>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</si>
  <si>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</si>
  <si>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</si>
  <si>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9/19/2013</t>
  </si>
  <si>
    <t>Equity</t>
  </si>
  <si>
    <t>ok</t>
  </si>
  <si>
    <t>7/13/2016</t>
  </si>
  <si>
    <t>3/10/2015</t>
  </si>
  <si>
    <t>9/30/2017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</si>
  <si>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</si>
  <si>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</si>
  <si>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</si>
  <si>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</si>
  <si>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</si>
  <si>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</si>
  <si>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</si>
  <si>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</si>
  <si>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</si>
  <si>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</si>
  <si>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</si>
  <si>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</si>
  <si>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2017/12/9</t>
  </si>
  <si>
    <t>Loan terms</t>
  </si>
  <si>
    <t>Expected disbursement date</t>
  </si>
  <si>
    <t>2017/12/12</t>
  </si>
  <si>
    <t>Expected first repayment date</t>
  </si>
  <si>
    <t>2018/1/9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</si>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</sst>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Bar and Restraunt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0.166998664764496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0.003034187453477856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602538.840826747</v>
      </c>
    </row>
    <row r="18" spans="1:7">
      <c r="B18" s="1" t="s">
        <v>12</v>
      </c>
      <c r="C18" s="36">
        <f>MIN(Output!B6:M6)</f>
        <v>16029.77868422834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137808.5269922319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112500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16029.77868422834</v>
      </c>
      <c r="C6" s="51">
        <f>C30-C88</f>
        <v>34241.77868422834</v>
      </c>
      <c r="D6" s="51">
        <f>D30-D88</f>
        <v>27041.77868422834</v>
      </c>
      <c r="E6" s="51">
        <f>E30-E88</f>
        <v>34241.77868422834</v>
      </c>
      <c r="F6" s="51">
        <f>F30-F88</f>
        <v>137808.5269922319</v>
      </c>
      <c r="G6" s="51">
        <f>G30-G88</f>
        <v>51905.77868422834</v>
      </c>
      <c r="H6" s="51">
        <f>H30-H88</f>
        <v>16029.77868422834</v>
      </c>
      <c r="I6" s="51">
        <f>I30-I88</f>
        <v>34241.77868422834</v>
      </c>
      <c r="J6" s="51">
        <f>J30-J88</f>
        <v>27041.77868422834</v>
      </c>
      <c r="K6" s="51">
        <f>K30-K88</f>
        <v>34241.77868422834</v>
      </c>
      <c r="L6" s="51">
        <f>L30-L88</f>
        <v>137808.5269922319</v>
      </c>
      <c r="M6" s="51">
        <f>M30-M88</f>
        <v>51905.77868422834</v>
      </c>
      <c r="N6" s="51">
        <f>N30-N88</f>
        <v>16029.77868422834</v>
      </c>
      <c r="O6" s="51">
        <f>O30-O88</f>
        <v>34241.77868422834</v>
      </c>
      <c r="P6" s="51">
        <f>P30-P88</f>
        <v>27041.77868422834</v>
      </c>
      <c r="Q6" s="51">
        <f>Q30-Q88</f>
        <v>34241.77868422834</v>
      </c>
      <c r="R6" s="51">
        <f>R30-R88</f>
        <v>137808.5269922319</v>
      </c>
      <c r="S6" s="51">
        <f>S30-S88</f>
        <v>51905.77868422834</v>
      </c>
      <c r="T6" s="51">
        <f>T30-T88</f>
        <v>16029.77868422834</v>
      </c>
      <c r="U6" s="51">
        <f>U30-U88</f>
        <v>34241.77868422834</v>
      </c>
      <c r="V6" s="51">
        <f>V30-V88</f>
        <v>27041.77868422834</v>
      </c>
      <c r="W6" s="51">
        <f>W30-W88</f>
        <v>34241.77868422834</v>
      </c>
      <c r="X6" s="51">
        <f>X30-X88</f>
        <v>137808.5269922319</v>
      </c>
      <c r="Y6" s="51">
        <f>Y30-Y88</f>
        <v>51905.77868422834</v>
      </c>
      <c r="Z6" s="51">
        <f>SUMIF($B$13:$Y$13,"Yes",B6:Y6)</f>
        <v>618568.6195109753</v>
      </c>
      <c r="AA6" s="51">
        <f>AA30-AA88</f>
        <v>602538.8408267472</v>
      </c>
      <c r="AB6" s="51">
        <f>AB30-AB88</f>
        <v>1205077.681653494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-148</v>
      </c>
      <c r="I7" s="80">
        <f>IF(ISERROR(VLOOKUP(MONTH(I5),Inputs!$D$66:$D$71,1,0)),"",INDEX(Inputs!$B$66:$B$71,MATCH(MONTH(Output!I5),Inputs!$D$66:$D$71,0))-INDEX(Inputs!$C$66:$C$71,MATCH(MONTH(Output!I5),Inputs!$D$66:$D$71,0)))</f>
        <v>-373</v>
      </c>
      <c r="J7" s="80">
        <f>IF(ISERROR(VLOOKUP(MONTH(J5),Inputs!$D$66:$D$71,1,0)),"",INDEX(Inputs!$B$66:$B$71,MATCH(MONTH(Output!J5),Inputs!$D$66:$D$71,0))-INDEX(Inputs!$C$66:$C$71,MATCH(MONTH(Output!J5),Inputs!$D$66:$D$71,0)))</f>
        <v>4729</v>
      </c>
      <c r="K7" s="80">
        <f>IF(ISERROR(VLOOKUP(MONTH(K5),Inputs!$D$66:$D$71,1,0)),"",INDEX(Inputs!$B$66:$B$71,MATCH(MONTH(Output!K5),Inputs!$D$66:$D$71,0))-INDEX(Inputs!$C$66:$C$71,MATCH(MONTH(Output!K5),Inputs!$D$66:$D$71,0)))</f>
        <v>-4656</v>
      </c>
      <c r="L7" s="80">
        <f>IF(ISERROR(VLOOKUP(MONTH(L5),Inputs!$D$66:$D$71,1,0)),"",INDEX(Inputs!$B$66:$B$71,MATCH(MONTH(Output!L5),Inputs!$D$66:$D$71,0))-INDEX(Inputs!$C$66:$C$71,MATCH(MONTH(Output!L5),Inputs!$D$66:$D$71,0)))</f>
        <v>5183</v>
      </c>
      <c r="M7" s="80">
        <f>IF(ISERROR(VLOOKUP(MONTH(M5),Inputs!$D$66:$D$71,1,0)),"",INDEX(Inputs!$B$66:$B$71,MATCH(MONTH(Output!M5),Inputs!$D$66:$D$71,0))-INDEX(Inputs!$C$66:$C$71,MATCH(MONTH(Output!M5),Inputs!$D$66:$D$71,0)))</f>
        <v>-5392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-148</v>
      </c>
      <c r="U7" s="80">
        <f>IF(ISERROR(VLOOKUP(MONTH(U5),Inputs!$D$66:$D$71,1,0)),"",INDEX(Inputs!$B$66:$B$71,MATCH(MONTH(Output!U5),Inputs!$D$66:$D$71,0))-INDEX(Inputs!$C$66:$C$71,MATCH(MONTH(Output!U5),Inputs!$D$66:$D$71,0)))</f>
        <v>-373</v>
      </c>
      <c r="V7" s="80">
        <f>IF(ISERROR(VLOOKUP(MONTH(V5),Inputs!$D$66:$D$71,1,0)),"",INDEX(Inputs!$B$66:$B$71,MATCH(MONTH(Output!V5),Inputs!$D$66:$D$71,0))-INDEX(Inputs!$C$66:$C$71,MATCH(MONTH(Output!V5),Inputs!$D$66:$D$71,0)))</f>
        <v>4729</v>
      </c>
      <c r="W7" s="80">
        <f>IF(ISERROR(VLOOKUP(MONTH(W5),Inputs!$D$66:$D$71,1,0)),"",INDEX(Inputs!$B$66:$B$71,MATCH(MONTH(Output!W5),Inputs!$D$66:$D$71,0))-INDEX(Inputs!$C$66:$C$71,MATCH(MONTH(Output!W5),Inputs!$D$66:$D$71,0)))</f>
        <v>-4656</v>
      </c>
      <c r="X7" s="80">
        <f>IF(ISERROR(VLOOKUP(MONTH(X5),Inputs!$D$66:$D$71,1,0)),"",INDEX(Inputs!$B$66:$B$71,MATCH(MONTH(Output!X5),Inputs!$D$66:$D$71,0))-INDEX(Inputs!$C$66:$C$71,MATCH(MONTH(Output!X5),Inputs!$D$66:$D$71,0)))</f>
        <v>5183</v>
      </c>
      <c r="Y7" s="80">
        <f>IF(ISERROR(VLOOKUP(MONTH(Y5),Inputs!$D$66:$D$71,1,0)),"",INDEX(Inputs!$B$66:$B$71,MATCH(MONTH(Output!Y5),Inputs!$D$66:$D$71,0))-INDEX(Inputs!$C$66:$C$71,MATCH(MONTH(Output!Y5),Inputs!$D$66:$D$71,0)))</f>
        <v>-5392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108333.3333333333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116029.7786842283</v>
      </c>
      <c r="C11" s="80">
        <f>C6+C9-C10</f>
        <v>32575.11201756167</v>
      </c>
      <c r="D11" s="80">
        <f>D6+D9-D10</f>
        <v>25375.11201756167</v>
      </c>
      <c r="E11" s="80">
        <f>E6+E9-E10</f>
        <v>22575.11201756167</v>
      </c>
      <c r="F11" s="80">
        <f>F6+F9-F10</f>
        <v>126141.8603255652</v>
      </c>
      <c r="G11" s="80">
        <f>G6+G9-G10</f>
        <v>40239.11201756167</v>
      </c>
      <c r="H11" s="80">
        <f>H6+H9-H10</f>
        <v>4363.112017561672</v>
      </c>
      <c r="I11" s="80">
        <f>I6+I9-I10</f>
        <v>22575.11201756167</v>
      </c>
      <c r="J11" s="80">
        <f>J6+J9-J10</f>
        <v>15375.11201756167</v>
      </c>
      <c r="K11" s="80">
        <f>K6+K9-K10</f>
        <v>22575.11201756167</v>
      </c>
      <c r="L11" s="80">
        <f>L6+L9-L10</f>
        <v>126141.8603255652</v>
      </c>
      <c r="M11" s="80">
        <f>M6+M9-M10</f>
        <v>40239.11201756167</v>
      </c>
      <c r="N11" s="80">
        <f>N6+N9-N10</f>
        <v>4363.112017561672</v>
      </c>
      <c r="O11" s="80">
        <f>O6+O9-O10</f>
        <v>34241.77868422834</v>
      </c>
      <c r="P11" s="80">
        <f>P6+P9-P10</f>
        <v>27041.77868422834</v>
      </c>
      <c r="Q11" s="80">
        <f>Q6+Q9-Q10</f>
        <v>34241.77868422834</v>
      </c>
      <c r="R11" s="80">
        <f>R6+R9-R10</f>
        <v>137808.5269922319</v>
      </c>
      <c r="S11" s="80">
        <f>S6+S9-S10</f>
        <v>51905.77868422834</v>
      </c>
      <c r="T11" s="80">
        <f>T6+T9-T10</f>
        <v>16029.77868422834</v>
      </c>
      <c r="U11" s="80">
        <f>U6+U9-U10</f>
        <v>34241.77868422834</v>
      </c>
      <c r="V11" s="80">
        <f>V6+V9-V10</f>
        <v>27041.77868422834</v>
      </c>
      <c r="W11" s="80">
        <f>W6+W9-W10</f>
        <v>34241.77868422834</v>
      </c>
      <c r="X11" s="80">
        <f>X6+X9-X10</f>
        <v>137808.5269922319</v>
      </c>
      <c r="Y11" s="80">
        <f>Y6+Y9-Y10</f>
        <v>51905.77868422834</v>
      </c>
      <c r="Z11" s="85">
        <f>SUMIF($B$13:$Y$13,"Yes",B11:Y11)</f>
        <v>598568.6195109755</v>
      </c>
      <c r="AA11" s="80">
        <f>SUM(B11:M11)</f>
        <v>594205.5074934139</v>
      </c>
      <c r="AB11" s="46">
        <f>SUM(B11:Y11)</f>
        <v>1185077.681653494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0.01109103210117203</v>
      </c>
      <c r="D12" s="82">
        <f>IF(D13="Yes",IF(SUM($B$10:D10)/(SUM($B$6:D6)+SUM($B$9:D9))&lt;0,999.99,SUM($B$10:D10)/(SUM($B$6:D6)+SUM($B$9:D9))),"")</f>
        <v>0.01879911239357034</v>
      </c>
      <c r="E12" s="82">
        <f>IF(E13="Yes",IF(SUM($B$10:E10)/(SUM($B$6:E6)+SUM($B$9:E9))&lt;0,999.99,SUM($B$10:E10)/(SUM($B$6:E6)+SUM($B$9:E9))),"")</f>
        <v>0.07090350908629066</v>
      </c>
      <c r="F12" s="82">
        <f>IF(F13="Yes",IF(SUM($B$10:F10)/(SUM($B$6:F6)+SUM($B$9:F9))&lt;0,999.99,SUM($B$10:F10)/(SUM($B$6:F6)+SUM($B$9:F9))),"")</f>
        <v>0.0763292554848647</v>
      </c>
      <c r="G12" s="82">
        <f>IF(G13="Yes",IF(SUM($B$10:G10)/(SUM($B$6:G6)+SUM($B$9:G9))&lt;0,999.99,SUM($B$10:G10)/(SUM($B$6:G6)+SUM($B$9:G9))),"")</f>
        <v>0.09553016348428366</v>
      </c>
      <c r="H12" s="82">
        <f>IF(H13="Yes",IF(SUM($B$10:H10)/(SUM($B$6:H6)+SUM($B$9:H9))&lt;0,999.99,SUM($B$10:H10)/(SUM($B$6:H6)+SUM($B$9:H9))),"")</f>
        <v>0.1198181067879441</v>
      </c>
      <c r="I12" s="82">
        <f>IF(I13="Yes",IF(SUM($B$10:I10)/(SUM($B$6:I6)+SUM($B$9:I9))&lt;0,999.99,SUM($B$10:I10)/(SUM($B$6:I6)+SUM($B$9:I9))),"")</f>
        <v>0.1365693695610987</v>
      </c>
      <c r="J12" s="82">
        <f>IF(J13="Yes",IF(SUM($B$10:J10)/(SUM($B$6:J6)+SUM($B$9:J9))&lt;0,999.99,SUM($B$10:J10)/(SUM($B$6:J6)+SUM($B$9:J9))),"")</f>
        <v>0.1532302038519731</v>
      </c>
      <c r="K12" s="82">
        <f>IF(K13="Yes",IF(SUM($B$10:K10)/(SUM($B$6:K6)+SUM($B$9:K9))&lt;0,999.99,SUM($B$10:K10)/(SUM($B$6:K6)+SUM($B$9:K9))),"")</f>
        <v>0.165748699942935</v>
      </c>
      <c r="L12" s="82">
        <f>IF(L13="Yes",IF(SUM($B$10:L10)/(SUM($B$6:L6)+SUM($B$9:L9))&lt;0,999.99,SUM($B$10:L10)/(SUM($B$6:L6)+SUM($B$9:L9))),"")</f>
        <v>0.1485732470285874</v>
      </c>
      <c r="M12" s="82">
        <f>IF(M13="Yes",IF(SUM($B$10:M10)/(SUM($B$6:M6)+SUM($B$9:M9))&lt;0,999.99,SUM($B$10:M10)/(SUM($B$6:M6)+SUM($B$9:M9))),"")</f>
        <v>0.1542026248767211</v>
      </c>
      <c r="N12" s="82">
        <f>IF(N13="Yes",IF(SUM($B$10:N10)/(SUM($B$6:N6)+SUM($B$9:N9))&lt;0,999.99,SUM($B$10:N10)/(SUM($B$6:N6)+SUM($B$9:N9))),"")</f>
        <v>0.166998664764496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75779.46741558264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75779.46741558264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75779.46741558264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75779.46741558264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151558.9348311653</v>
      </c>
      <c r="AA18" s="36">
        <f>SUM(B18:M18)</f>
        <v>151558.9348311653</v>
      </c>
      <c r="AB18" s="36">
        <f>SUM(B18:Y18)</f>
        <v>303117.8696623305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27787.2808924209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27787.2808924209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27787.2808924209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27787.2808924209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55574.5617848418</v>
      </c>
      <c r="AA19" s="36">
        <f>SUM(B19:M19)</f>
        <v>55574.5617848418</v>
      </c>
      <c r="AB19" s="36">
        <f>SUM(B19:Y19)</f>
        <v>111149.1235696836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185500</v>
      </c>
      <c r="C29" s="37">
        <f>Inputs!$B$30</f>
        <v>185500</v>
      </c>
      <c r="D29" s="37">
        <f>Inputs!$B$30</f>
        <v>185500</v>
      </c>
      <c r="E29" s="37">
        <f>Inputs!$B$30</f>
        <v>185500</v>
      </c>
      <c r="F29" s="37">
        <f>Inputs!$B$30</f>
        <v>185500</v>
      </c>
      <c r="G29" s="37">
        <f>Inputs!$B$30</f>
        <v>185500</v>
      </c>
      <c r="H29" s="37">
        <f>Inputs!$B$30</f>
        <v>185500</v>
      </c>
      <c r="I29" s="37">
        <f>Inputs!$B$30</f>
        <v>185500</v>
      </c>
      <c r="J29" s="37">
        <f>Inputs!$B$30</f>
        <v>185500</v>
      </c>
      <c r="K29" s="37">
        <f>Inputs!$B$30</f>
        <v>185500</v>
      </c>
      <c r="L29" s="37">
        <f>Inputs!$B$30</f>
        <v>185500</v>
      </c>
      <c r="M29" s="37">
        <f>Inputs!$B$30</f>
        <v>185500</v>
      </c>
      <c r="N29" s="37">
        <f>Inputs!$B$30</f>
        <v>185500</v>
      </c>
      <c r="O29" s="37">
        <f>Inputs!$B$30</f>
        <v>185500</v>
      </c>
      <c r="P29" s="37">
        <f>Inputs!$B$30</f>
        <v>185500</v>
      </c>
      <c r="Q29" s="37">
        <f>Inputs!$B$30</f>
        <v>185500</v>
      </c>
      <c r="R29" s="37">
        <f>Inputs!$B$30</f>
        <v>185500</v>
      </c>
      <c r="S29" s="37">
        <f>Inputs!$B$30</f>
        <v>185500</v>
      </c>
      <c r="T29" s="37">
        <f>Inputs!$B$30</f>
        <v>185500</v>
      </c>
      <c r="U29" s="37">
        <f>Inputs!$B$30</f>
        <v>185500</v>
      </c>
      <c r="V29" s="37">
        <f>Inputs!$B$30</f>
        <v>185500</v>
      </c>
      <c r="W29" s="37">
        <f>Inputs!$B$30</f>
        <v>185500</v>
      </c>
      <c r="X29" s="37">
        <f>Inputs!$B$30</f>
        <v>185500</v>
      </c>
      <c r="Y29" s="37">
        <f>Inputs!$B$30</f>
        <v>185500</v>
      </c>
      <c r="Z29" s="37">
        <f>SUMIF($B$13:$Y$13,"Yes",B29:Y29)</f>
        <v>2411500</v>
      </c>
      <c r="AA29" s="37">
        <f>SUM(B29:M29)</f>
        <v>2226000</v>
      </c>
      <c r="AB29" s="37">
        <f>SUM(B29:Y29)</f>
        <v>4452000</v>
      </c>
    </row>
    <row r="30" spans="1:30" customHeight="1" ht="15.75">
      <c r="A30" s="1" t="s">
        <v>37</v>
      </c>
      <c r="B30" s="19">
        <f>SUM(B18:B29)</f>
        <v>185500</v>
      </c>
      <c r="C30" s="19">
        <f>SUM(C18:C29)</f>
        <v>185500</v>
      </c>
      <c r="D30" s="19">
        <f>SUM(D18:D29)</f>
        <v>185500</v>
      </c>
      <c r="E30" s="19">
        <f>SUM(E18:E29)</f>
        <v>185500</v>
      </c>
      <c r="F30" s="19">
        <f>SUM(F18:F29)</f>
        <v>289066.7483080035</v>
      </c>
      <c r="G30" s="19">
        <f>SUM(G18:G29)</f>
        <v>185500</v>
      </c>
      <c r="H30" s="19">
        <f>SUM(H18:H29)</f>
        <v>185500</v>
      </c>
      <c r="I30" s="19">
        <f>SUM(I18:I29)</f>
        <v>185500</v>
      </c>
      <c r="J30" s="19">
        <f>SUM(J18:J29)</f>
        <v>185500</v>
      </c>
      <c r="K30" s="19">
        <f>SUM(K18:K29)</f>
        <v>185500</v>
      </c>
      <c r="L30" s="19">
        <f>SUM(L18:L29)</f>
        <v>289066.7483080035</v>
      </c>
      <c r="M30" s="19">
        <f>SUM(M18:M29)</f>
        <v>185500</v>
      </c>
      <c r="N30" s="19">
        <f>SUM(N18:N29)</f>
        <v>185500</v>
      </c>
      <c r="O30" s="19">
        <f>SUM(O18:O29)</f>
        <v>185500</v>
      </c>
      <c r="P30" s="19">
        <f>SUM(P18:P29)</f>
        <v>185500</v>
      </c>
      <c r="Q30" s="19">
        <f>SUM(Q18:Q29)</f>
        <v>185500</v>
      </c>
      <c r="R30" s="19">
        <f>SUM(R18:R29)</f>
        <v>289066.7483080035</v>
      </c>
      <c r="S30" s="19">
        <f>SUM(S18:S29)</f>
        <v>185500</v>
      </c>
      <c r="T30" s="19">
        <f>SUM(T18:T29)</f>
        <v>185500</v>
      </c>
      <c r="U30" s="19">
        <f>SUM(U18:U29)</f>
        <v>185500</v>
      </c>
      <c r="V30" s="19">
        <f>SUM(V18:V29)</f>
        <v>185500</v>
      </c>
      <c r="W30" s="19">
        <f>SUM(W18:W29)</f>
        <v>185500</v>
      </c>
      <c r="X30" s="19">
        <f>SUM(X18:X29)</f>
        <v>289066.7483080035</v>
      </c>
      <c r="Y30" s="19">
        <f>SUM(Y18:Y29)</f>
        <v>185500</v>
      </c>
      <c r="Z30" s="19">
        <f>SUMIF($B$13:$Y$13,"Yes",B30:Y30)</f>
        <v>2618633.496616007</v>
      </c>
      <c r="AA30" s="19">
        <f>SUM(B30:M30)</f>
        <v>2433133.496616007</v>
      </c>
      <c r="AB30" s="19">
        <f>SUM(B30:Y30)</f>
        <v>4866266.993232015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36000</v>
      </c>
      <c r="AA36" s="36">
        <f>SUM(B36:M36)</f>
        <v>24000</v>
      </c>
      <c r="AB36" s="36">
        <f>SUM(B36:Y36)</f>
        <v>48000</v>
      </c>
      <c r="AC36" s="73"/>
    </row>
    <row r="37" spans="1:30" hidden="true" outlineLevel="1">
      <c r="A37" s="181" t="str">
        <f>Calculations!$A$4</f>
        <v>Maize</v>
      </c>
      <c r="B37" s="36">
        <f>N37</f>
        <v>8000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8000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8000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8000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24000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Beans</v>
      </c>
      <c r="B38" s="36">
        <f>N38</f>
        <v>4000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4000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4000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4000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6212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6212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6212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6212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18636</v>
      </c>
      <c r="AA42" s="36">
        <f>SUM(B42:M42)</f>
        <v>12424</v>
      </c>
      <c r="AB42" s="36">
        <f>SUM(B42:Y42)</f>
        <v>24848</v>
      </c>
    </row>
    <row r="43" spans="1:30" hidden="true" outlineLevel="1">
      <c r="A43" s="181" t="str">
        <f>Calculations!$A$4</f>
        <v>Maize</v>
      </c>
      <c r="B43" s="36">
        <f>N43</f>
        <v>1212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1212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1212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1212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3636.000000000001</v>
      </c>
      <c r="AA43" s="36">
        <f>SUM(B43:M43)</f>
        <v>2424</v>
      </c>
      <c r="AB43" s="36">
        <f>SUM(B43:Y43)</f>
        <v>4848.000000000001</v>
      </c>
    </row>
    <row r="44" spans="1:30" hidden="true" outlineLevel="1">
      <c r="A44" s="181" t="str">
        <f>Calculations!$A$5</f>
        <v>Beans</v>
      </c>
      <c r="B44" s="36">
        <f>N44</f>
        <v>5000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5000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5000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5000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7200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7200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7200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7200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14400</v>
      </c>
      <c r="AA48" s="46">
        <f>SUM(B48:M48)</f>
        <v>14400</v>
      </c>
      <c r="AB48" s="46">
        <f>SUM(B48:Y48)</f>
        <v>28800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1200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1200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1200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1200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2400</v>
      </c>
      <c r="AB49" s="46">
        <f>SUM(B49:Y49)</f>
        <v>4800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6000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6000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6000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6000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6400</v>
      </c>
      <c r="C60" s="36">
        <f>O60</f>
        <v>6400</v>
      </c>
      <c r="D60" s="36">
        <f>P60</f>
        <v>6400</v>
      </c>
      <c r="E60" s="36">
        <f>Q60</f>
        <v>6400</v>
      </c>
      <c r="F60" s="36">
        <f>R60</f>
        <v>6400</v>
      </c>
      <c r="G60" s="36">
        <f>S60</f>
        <v>0</v>
      </c>
      <c r="H60" s="36">
        <f>T60</f>
        <v>6400</v>
      </c>
      <c r="I60" s="36">
        <f>U60</f>
        <v>6400</v>
      </c>
      <c r="J60" s="36">
        <f>V60</f>
        <v>6400</v>
      </c>
      <c r="K60" s="36">
        <f>W60</f>
        <v>6400</v>
      </c>
      <c r="L60" s="36">
        <f>X60</f>
        <v>6400</v>
      </c>
      <c r="M60" s="36">
        <f>Y60</f>
        <v>0</v>
      </c>
      <c r="N60" s="46">
        <f>SUM(N61:N65)</f>
        <v>6400</v>
      </c>
      <c r="O60" s="46">
        <f>SUM(O61:O65)</f>
        <v>6400</v>
      </c>
      <c r="P60" s="46">
        <f>SUM(P61:P65)</f>
        <v>6400</v>
      </c>
      <c r="Q60" s="46">
        <f>SUM(Q61:Q65)</f>
        <v>6400</v>
      </c>
      <c r="R60" s="46">
        <f>SUM(R61:R65)</f>
        <v>6400</v>
      </c>
      <c r="S60" s="46">
        <f>SUM(S61:S65)</f>
        <v>0</v>
      </c>
      <c r="T60" s="46">
        <f>SUM(T61:T65)</f>
        <v>6400</v>
      </c>
      <c r="U60" s="46">
        <f>SUM(U61:U65)</f>
        <v>6400</v>
      </c>
      <c r="V60" s="46">
        <f>SUM(V61:V65)</f>
        <v>6400</v>
      </c>
      <c r="W60" s="46">
        <f>SUM(W61:W65)</f>
        <v>6400</v>
      </c>
      <c r="X60" s="46">
        <f>SUM(X61:X65)</f>
        <v>6400</v>
      </c>
      <c r="Y60" s="46">
        <f>SUM(Y61:Y65)</f>
        <v>0</v>
      </c>
      <c r="Z60" s="46">
        <f>SUMIF($B$13:$Y$13,"Yes",B60:Y60)</f>
        <v>70400</v>
      </c>
      <c r="AA60" s="46">
        <f>SUM(B60:M60)</f>
        <v>64000</v>
      </c>
      <c r="AB60" s="46">
        <f>SUM(B60:Y60)</f>
        <v>128000</v>
      </c>
    </row>
    <row r="61" spans="1:30" hidden="true" outlineLevel="1">
      <c r="A61" s="181" t="str">
        <f>Calculations!$A$4</f>
        <v>Maize</v>
      </c>
      <c r="B61" s="36">
        <f>N61</f>
        <v>4000</v>
      </c>
      <c r="C61" s="36">
        <f>O61</f>
        <v>4000</v>
      </c>
      <c r="D61" s="36">
        <f>P61</f>
        <v>4000</v>
      </c>
      <c r="E61" s="36">
        <f>Q61</f>
        <v>4000</v>
      </c>
      <c r="F61" s="36">
        <f>R61</f>
        <v>4000</v>
      </c>
      <c r="G61" s="36">
        <f>S61</f>
        <v>0</v>
      </c>
      <c r="H61" s="36">
        <f>T61</f>
        <v>4000</v>
      </c>
      <c r="I61" s="36">
        <f>U61</f>
        <v>4000</v>
      </c>
      <c r="J61" s="36">
        <f>V61</f>
        <v>4000</v>
      </c>
      <c r="K61" s="36">
        <f>W61</f>
        <v>4000</v>
      </c>
      <c r="L61" s="36">
        <f>X61</f>
        <v>4000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44000</v>
      </c>
      <c r="AA61" s="46">
        <f>SUM(B61:M61)</f>
        <v>40000</v>
      </c>
      <c r="AB61" s="46">
        <f>SUM(B61:Y61)</f>
        <v>80000</v>
      </c>
    </row>
    <row r="62" spans="1:30" hidden="true" outlineLevel="1">
      <c r="A62" s="181" t="str">
        <f>Calculations!$A$5</f>
        <v>Beans</v>
      </c>
      <c r="B62" s="36">
        <f>N62</f>
        <v>2400</v>
      </c>
      <c r="C62" s="36">
        <f>O62</f>
        <v>2400</v>
      </c>
      <c r="D62" s="36">
        <f>P62</f>
        <v>2400</v>
      </c>
      <c r="E62" s="36">
        <f>Q62</f>
        <v>2400</v>
      </c>
      <c r="F62" s="36">
        <f>R62</f>
        <v>2400</v>
      </c>
      <c r="G62" s="36">
        <f>S62</f>
        <v>0</v>
      </c>
      <c r="H62" s="36">
        <f>T62</f>
        <v>2400</v>
      </c>
      <c r="I62" s="36">
        <f>U62</f>
        <v>2400</v>
      </c>
      <c r="J62" s="36">
        <f>V62</f>
        <v>2400</v>
      </c>
      <c r="K62" s="36">
        <f>W62</f>
        <v>2400</v>
      </c>
      <c r="L62" s="36">
        <f>X62</f>
        <v>2400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2400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2400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2400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2400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2400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2400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2400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2400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2400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2400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26400</v>
      </c>
      <c r="AA62" s="46">
        <f>SUM(B62:M62)</f>
        <v>24000</v>
      </c>
      <c r="AB62" s="46">
        <f>SUM(B62:Y62)</f>
        <v>48000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11264</v>
      </c>
      <c r="C66" s="36">
        <f>O66</f>
        <v>11264</v>
      </c>
      <c r="D66" s="36">
        <f>P66</f>
        <v>11264</v>
      </c>
      <c r="E66" s="36">
        <f>Q66</f>
        <v>11264</v>
      </c>
      <c r="F66" s="36">
        <f>R66</f>
        <v>11264</v>
      </c>
      <c r="G66" s="36">
        <f>S66</f>
        <v>0</v>
      </c>
      <c r="H66" s="36">
        <f>T66</f>
        <v>11264</v>
      </c>
      <c r="I66" s="36">
        <f>U66</f>
        <v>11264</v>
      </c>
      <c r="J66" s="36">
        <f>V66</f>
        <v>11264</v>
      </c>
      <c r="K66" s="36">
        <f>W66</f>
        <v>11264</v>
      </c>
      <c r="L66" s="36">
        <f>X66</f>
        <v>11264</v>
      </c>
      <c r="M66" s="36">
        <f>Y66</f>
        <v>0</v>
      </c>
      <c r="N66" s="46">
        <f>SUM(N67:N71)</f>
        <v>11264</v>
      </c>
      <c r="O66" s="46">
        <f>SUM(O67:O71)</f>
        <v>11264</v>
      </c>
      <c r="P66" s="46">
        <f>SUM(P67:P71)</f>
        <v>11264</v>
      </c>
      <c r="Q66" s="46">
        <f>SUM(Q67:Q71)</f>
        <v>11264</v>
      </c>
      <c r="R66" s="46">
        <f>SUM(R67:R71)</f>
        <v>11264</v>
      </c>
      <c r="S66" s="46">
        <f>SUM(S67:S71)</f>
        <v>0</v>
      </c>
      <c r="T66" s="46">
        <f>SUM(T67:T71)</f>
        <v>11264</v>
      </c>
      <c r="U66" s="46">
        <f>SUM(U67:U71)</f>
        <v>11264</v>
      </c>
      <c r="V66" s="46">
        <f>SUM(V67:V71)</f>
        <v>11264</v>
      </c>
      <c r="W66" s="46">
        <f>SUM(W67:W71)</f>
        <v>11264</v>
      </c>
      <c r="X66" s="46">
        <f>SUM(X67:X71)</f>
        <v>11264</v>
      </c>
      <c r="Y66" s="46">
        <f>SUM(Y67:Y71)</f>
        <v>0</v>
      </c>
      <c r="Z66" s="46">
        <f>SUMIF($B$13:$Y$13,"Yes",B66:Y66)</f>
        <v>123904</v>
      </c>
      <c r="AA66" s="46">
        <f>SUM(B66:M66)</f>
        <v>112640</v>
      </c>
      <c r="AB66" s="46">
        <f>SUM(B66:Y66)</f>
        <v>225280</v>
      </c>
    </row>
    <row r="67" spans="1:30" hidden="true" outlineLevel="1">
      <c r="A67" s="181" t="str">
        <f>Calculations!$A$4</f>
        <v>Maize</v>
      </c>
      <c r="B67" s="36">
        <f>N67</f>
        <v>6144</v>
      </c>
      <c r="C67" s="36">
        <f>O67</f>
        <v>6144</v>
      </c>
      <c r="D67" s="36">
        <f>P67</f>
        <v>6144</v>
      </c>
      <c r="E67" s="36">
        <f>Q67</f>
        <v>6144</v>
      </c>
      <c r="F67" s="36">
        <f>R67</f>
        <v>6144</v>
      </c>
      <c r="G67" s="36">
        <f>S67</f>
        <v>0</v>
      </c>
      <c r="H67" s="36">
        <f>T67</f>
        <v>6144</v>
      </c>
      <c r="I67" s="36">
        <f>U67</f>
        <v>6144</v>
      </c>
      <c r="J67" s="36">
        <f>V67</f>
        <v>6144</v>
      </c>
      <c r="K67" s="36">
        <f>W67</f>
        <v>6144</v>
      </c>
      <c r="L67" s="36">
        <f>X67</f>
        <v>6144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6144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6144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6144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6144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6144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6144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6144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6144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6144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6144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67584</v>
      </c>
      <c r="AA67" s="46">
        <f>SUM(B67:M67)</f>
        <v>61440</v>
      </c>
      <c r="AB67" s="46">
        <f>SUM(B67:Y67)</f>
        <v>122880</v>
      </c>
    </row>
    <row r="68" spans="1:30" hidden="true" outlineLevel="1">
      <c r="A68" s="181" t="str">
        <f>Calculations!$A$5</f>
        <v>Beans</v>
      </c>
      <c r="B68" s="36">
        <f>N68</f>
        <v>5120</v>
      </c>
      <c r="C68" s="36">
        <f>O68</f>
        <v>5120</v>
      </c>
      <c r="D68" s="36">
        <f>P68</f>
        <v>5120</v>
      </c>
      <c r="E68" s="36">
        <f>Q68</f>
        <v>5120</v>
      </c>
      <c r="F68" s="36">
        <f>R68</f>
        <v>5120</v>
      </c>
      <c r="G68" s="36">
        <f>S68</f>
        <v>0</v>
      </c>
      <c r="H68" s="36">
        <f>T68</f>
        <v>5120</v>
      </c>
      <c r="I68" s="36">
        <f>U68</f>
        <v>5120</v>
      </c>
      <c r="J68" s="36">
        <f>V68</f>
        <v>5120</v>
      </c>
      <c r="K68" s="36">
        <f>W68</f>
        <v>5120</v>
      </c>
      <c r="L68" s="36">
        <f>X68</f>
        <v>5120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5120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5120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5120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5120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5120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5120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5120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5120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5120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5120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56320</v>
      </c>
      <c r="AA68" s="46">
        <f>SUM(B68:M68)</f>
        <v>51200</v>
      </c>
      <c r="AB68" s="46">
        <f>SUM(B68:Y68)</f>
        <v>102400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97750</v>
      </c>
      <c r="C79" s="46">
        <f>Inputs!$B$31</f>
        <v>97750</v>
      </c>
      <c r="D79" s="46">
        <f>Inputs!$B$31</f>
        <v>97750</v>
      </c>
      <c r="E79" s="46">
        <f>Inputs!$B$31</f>
        <v>97750</v>
      </c>
      <c r="F79" s="46">
        <f>Inputs!$B$31</f>
        <v>97750</v>
      </c>
      <c r="G79" s="46">
        <f>Inputs!$B$31</f>
        <v>97750</v>
      </c>
      <c r="H79" s="46">
        <f>Inputs!$B$31</f>
        <v>97750</v>
      </c>
      <c r="I79" s="46">
        <f>Inputs!$B$31</f>
        <v>97750</v>
      </c>
      <c r="J79" s="46">
        <f>Inputs!$B$31</f>
        <v>97750</v>
      </c>
      <c r="K79" s="46">
        <f>Inputs!$B$31</f>
        <v>97750</v>
      </c>
      <c r="L79" s="46">
        <f>Inputs!$B$31</f>
        <v>97750</v>
      </c>
      <c r="M79" s="46">
        <f>Inputs!$B$31</f>
        <v>97750</v>
      </c>
      <c r="N79" s="46">
        <f>Inputs!$B$31</f>
        <v>97750</v>
      </c>
      <c r="O79" s="46">
        <f>Inputs!$B$31</f>
        <v>97750</v>
      </c>
      <c r="P79" s="46">
        <f>Inputs!$B$31</f>
        <v>97750</v>
      </c>
      <c r="Q79" s="46">
        <f>Inputs!$B$31</f>
        <v>97750</v>
      </c>
      <c r="R79" s="46">
        <f>Inputs!$B$31</f>
        <v>97750</v>
      </c>
      <c r="S79" s="46">
        <f>Inputs!$B$31</f>
        <v>97750</v>
      </c>
      <c r="T79" s="46">
        <f>Inputs!$B$31</f>
        <v>97750</v>
      </c>
      <c r="U79" s="46">
        <f>Inputs!$B$31</f>
        <v>97750</v>
      </c>
      <c r="V79" s="46">
        <f>Inputs!$B$31</f>
        <v>97750</v>
      </c>
      <c r="W79" s="46">
        <f>Inputs!$B$31</f>
        <v>97750</v>
      </c>
      <c r="X79" s="46">
        <f>Inputs!$B$31</f>
        <v>97750</v>
      </c>
      <c r="Y79" s="46">
        <f>Inputs!$B$31</f>
        <v>97750</v>
      </c>
      <c r="Z79" s="46">
        <f>SUMIF($B$13:$Y$13,"Yes",B79:Y79)</f>
        <v>1270750</v>
      </c>
      <c r="AA79" s="46">
        <f>SUM(B79:M79)</f>
        <v>1173000</v>
      </c>
      <c r="AB79" s="46">
        <f>SUM(B79:Y79)</f>
        <v>2346000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34422.3165538669</v>
      </c>
      <c r="C81" s="46">
        <f>(SUM($AA$18:$AA$29)-SUM($AA$36,$AA$42,$AA$48,$AA$54,$AA$60,$AA$66,$AA$72:$AA$79))*Parameters!$B$37/12</f>
        <v>34422.3165538669</v>
      </c>
      <c r="D81" s="46">
        <f>(SUM($AA$18:$AA$29)-SUM($AA$36,$AA$42,$AA$48,$AA$54,$AA$60,$AA$66,$AA$72:$AA$79))*Parameters!$B$37/12</f>
        <v>34422.3165538669</v>
      </c>
      <c r="E81" s="46">
        <f>(SUM($AA$18:$AA$29)-SUM($AA$36,$AA$42,$AA$48,$AA$54,$AA$60,$AA$66,$AA$72:$AA$79))*Parameters!$B$37/12</f>
        <v>34422.3165538669</v>
      </c>
      <c r="F81" s="46">
        <f>(SUM($AA$18:$AA$29)-SUM($AA$36,$AA$42,$AA$48,$AA$54,$AA$60,$AA$66,$AA$72:$AA$79))*Parameters!$B$37/12</f>
        <v>34422.3165538669</v>
      </c>
      <c r="G81" s="46">
        <f>(SUM($AA$18:$AA$29)-SUM($AA$36,$AA$42,$AA$48,$AA$54,$AA$60,$AA$66,$AA$72:$AA$79))*Parameters!$B$37/12</f>
        <v>34422.3165538669</v>
      </c>
      <c r="H81" s="46">
        <f>(SUM($AA$18:$AA$29)-SUM($AA$36,$AA$42,$AA$48,$AA$54,$AA$60,$AA$66,$AA$72:$AA$79))*Parameters!$B$37/12</f>
        <v>34422.3165538669</v>
      </c>
      <c r="I81" s="46">
        <f>(SUM($AA$18:$AA$29)-SUM($AA$36,$AA$42,$AA$48,$AA$54,$AA$60,$AA$66,$AA$72:$AA$79))*Parameters!$B$37/12</f>
        <v>34422.3165538669</v>
      </c>
      <c r="J81" s="46">
        <f>(SUM($AA$18:$AA$29)-SUM($AA$36,$AA$42,$AA$48,$AA$54,$AA$60,$AA$66,$AA$72:$AA$79))*Parameters!$B$37/12</f>
        <v>34422.3165538669</v>
      </c>
      <c r="K81" s="46">
        <f>(SUM($AA$18:$AA$29)-SUM($AA$36,$AA$42,$AA$48,$AA$54,$AA$60,$AA$66,$AA$72:$AA$79))*Parameters!$B$37/12</f>
        <v>34422.3165538669</v>
      </c>
      <c r="L81" s="46">
        <f>(SUM($AA$18:$AA$29)-SUM($AA$36,$AA$42,$AA$48,$AA$54,$AA$60,$AA$66,$AA$72:$AA$79))*Parameters!$B$37/12</f>
        <v>34422.3165538669</v>
      </c>
      <c r="M81" s="46">
        <f>(SUM($AA$18:$AA$29)-SUM($AA$36,$AA$42,$AA$48,$AA$54,$AA$60,$AA$66,$AA$72:$AA$79))*Parameters!$B$37/12</f>
        <v>34422.3165538669</v>
      </c>
      <c r="N81" s="46">
        <f>(SUM($AA$18:$AA$29)-SUM($AA$36,$AA$42,$AA$48,$AA$54,$AA$60,$AA$66,$AA$72:$AA$79))*Parameters!$B$37/12</f>
        <v>34422.3165538669</v>
      </c>
      <c r="O81" s="46">
        <f>(SUM($AA$18:$AA$29)-SUM($AA$36,$AA$42,$AA$48,$AA$54,$AA$60,$AA$66,$AA$72:$AA$79))*Parameters!$B$37/12</f>
        <v>34422.3165538669</v>
      </c>
      <c r="P81" s="46">
        <f>(SUM($AA$18:$AA$29)-SUM($AA$36,$AA$42,$AA$48,$AA$54,$AA$60,$AA$66,$AA$72:$AA$79))*Parameters!$B$37/12</f>
        <v>34422.3165538669</v>
      </c>
      <c r="Q81" s="46">
        <f>(SUM($AA$18:$AA$29)-SUM($AA$36,$AA$42,$AA$48,$AA$54,$AA$60,$AA$66,$AA$72:$AA$79))*Parameters!$B$37/12</f>
        <v>34422.3165538669</v>
      </c>
      <c r="R81" s="46">
        <f>(SUM($AA$18:$AA$29)-SUM($AA$36,$AA$42,$AA$48,$AA$54,$AA$60,$AA$66,$AA$72:$AA$79))*Parameters!$B$37/12</f>
        <v>34422.3165538669</v>
      </c>
      <c r="S81" s="46">
        <f>(SUM($AA$18:$AA$29)-SUM($AA$36,$AA$42,$AA$48,$AA$54,$AA$60,$AA$66,$AA$72:$AA$79))*Parameters!$B$37/12</f>
        <v>34422.3165538669</v>
      </c>
      <c r="T81" s="46">
        <f>(SUM($AA$18:$AA$29)-SUM($AA$36,$AA$42,$AA$48,$AA$54,$AA$60,$AA$66,$AA$72:$AA$79))*Parameters!$B$37/12</f>
        <v>34422.3165538669</v>
      </c>
      <c r="U81" s="46">
        <f>(SUM($AA$18:$AA$29)-SUM($AA$36,$AA$42,$AA$48,$AA$54,$AA$60,$AA$66,$AA$72:$AA$79))*Parameters!$B$37/12</f>
        <v>34422.3165538669</v>
      </c>
      <c r="V81" s="46">
        <f>(SUM($AA$18:$AA$29)-SUM($AA$36,$AA$42,$AA$48,$AA$54,$AA$60,$AA$66,$AA$72:$AA$79))*Parameters!$B$37/12</f>
        <v>34422.3165538669</v>
      </c>
      <c r="W81" s="46">
        <f>(SUM($AA$18:$AA$29)-SUM($AA$36,$AA$42,$AA$48,$AA$54,$AA$60,$AA$66,$AA$72:$AA$79))*Parameters!$B$37/12</f>
        <v>34422.3165538669</v>
      </c>
      <c r="X81" s="46">
        <f>(SUM($AA$18:$AA$29)-SUM($AA$36,$AA$42,$AA$48,$AA$54,$AA$60,$AA$66,$AA$72:$AA$79))*Parameters!$B$37/12</f>
        <v>34422.3165538669</v>
      </c>
      <c r="Y81" s="46">
        <f>(SUM($AA$18:$AA$29)-SUM($AA$36,$AA$42,$AA$48,$AA$54,$AA$60,$AA$66,$AA$72:$AA$79))*Parameters!$B$37/12</f>
        <v>34422.3165538669</v>
      </c>
      <c r="Z81" s="46">
        <f>SUMIF($B$13:$Y$13,"Yes",B81:Y81)</f>
        <v>447490.1152002697</v>
      </c>
      <c r="AA81" s="46">
        <f>SUM(B81:M81)</f>
        <v>413067.7986464028</v>
      </c>
      <c r="AB81" s="46">
        <f>SUM(B81:Y81)</f>
        <v>826135.597292806</v>
      </c>
    </row>
    <row r="82" spans="1:30">
      <c r="A82" s="16" t="s">
        <v>52</v>
      </c>
      <c r="B82" s="46">
        <f>SUM(B83:B87)</f>
        <v>1421.904761904762</v>
      </c>
      <c r="C82" s="46">
        <f>SUM(C83:C87)</f>
        <v>1421.904761904762</v>
      </c>
      <c r="D82" s="46">
        <f>SUM(D83:D87)</f>
        <v>1421.904761904762</v>
      </c>
      <c r="E82" s="46">
        <f>SUM(E83:E87)</f>
        <v>1421.904761904762</v>
      </c>
      <c r="F82" s="46">
        <f>SUM(F83:F87)</f>
        <v>1421.904761904762</v>
      </c>
      <c r="G82" s="46">
        <f>SUM(G83:G87)</f>
        <v>1421.904761904762</v>
      </c>
      <c r="H82" s="46">
        <f>SUM(H83:H87)</f>
        <v>1421.904761904762</v>
      </c>
      <c r="I82" s="46">
        <f>SUM(I83:I87)</f>
        <v>1421.904761904762</v>
      </c>
      <c r="J82" s="46">
        <f>SUM(J83:J87)</f>
        <v>1421.904761904762</v>
      </c>
      <c r="K82" s="46">
        <f>SUM(K83:K87)</f>
        <v>1421.904761904762</v>
      </c>
      <c r="L82" s="46">
        <f>SUM(L83:L87)</f>
        <v>1421.904761904762</v>
      </c>
      <c r="M82" s="46">
        <f>SUM(M83:M87)</f>
        <v>1421.904761904762</v>
      </c>
      <c r="N82" s="46">
        <f>SUM(N83:N87)</f>
        <v>1421.904761904762</v>
      </c>
      <c r="O82" s="46">
        <f>SUM(O83:O87)</f>
        <v>1421.904761904762</v>
      </c>
      <c r="P82" s="46">
        <f>SUM(P83:P87)</f>
        <v>1421.904761904762</v>
      </c>
      <c r="Q82" s="46">
        <f>SUM(Q83:Q87)</f>
        <v>1421.904761904762</v>
      </c>
      <c r="R82" s="46">
        <f>SUM(R83:R87)</f>
        <v>1421.904761904762</v>
      </c>
      <c r="S82" s="46">
        <f>SUM(S83:S87)</f>
        <v>1421.904761904762</v>
      </c>
      <c r="T82" s="46">
        <f>SUM(T83:T87)</f>
        <v>1421.904761904762</v>
      </c>
      <c r="U82" s="46">
        <f>SUM(U83:U87)</f>
        <v>1421.904761904762</v>
      </c>
      <c r="V82" s="46">
        <f>SUM(V83:V87)</f>
        <v>1421.904761904762</v>
      </c>
      <c r="W82" s="46">
        <f>SUM(W83:W87)</f>
        <v>1421.904761904762</v>
      </c>
      <c r="X82" s="46">
        <f>SUM(X83:X87)</f>
        <v>1421.904761904762</v>
      </c>
      <c r="Y82" s="46">
        <f>SUM(Y83:Y87)</f>
        <v>1421.904761904762</v>
      </c>
      <c r="Z82" s="46">
        <f>SUMIF($B$13:$Y$13,"Yes",B82:Y82)</f>
        <v>18484.7619047619</v>
      </c>
      <c r="AA82" s="46">
        <f>SUM(B82:M82)</f>
        <v>17062.85714285714</v>
      </c>
      <c r="AB82" s="46">
        <f>SUM(B82:Y82)</f>
        <v>34125.7142857143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1421.904761904762</v>
      </c>
      <c r="C86" s="46">
        <f>IF(Calculations!$E26&gt;COUNT(Output!$B$35:C$35),Calculations!$B26,IF(Calculations!$E26=COUNT(Output!$B$35:C$35),Inputs!$B59-Calculations!$C26*(Calculations!$E26-1)+Calculations!$D26,0))</f>
        <v>1421.904761904762</v>
      </c>
      <c r="D86" s="46">
        <f>IF(Calculations!$E26&gt;COUNT(Output!$B$35:D$35),Calculations!$B26,IF(Calculations!$E26=COUNT(Output!$B$35:D$35),Inputs!$B59-Calculations!$C26*(Calculations!$E26-1)+Calculations!$D26,0))</f>
        <v>1421.904761904762</v>
      </c>
      <c r="E86" s="46">
        <f>IF(Calculations!$E26&gt;COUNT(Output!$B$35:E$35),Calculations!$B26,IF(Calculations!$E26=COUNT(Output!$B$35:E$35),Inputs!$B59-Calculations!$C26*(Calculations!$E26-1)+Calculations!$D26,0))</f>
        <v>1421.904761904762</v>
      </c>
      <c r="F86" s="46">
        <f>IF(Calculations!$E26&gt;COUNT(Output!$B$35:F$35),Calculations!$B26,IF(Calculations!$E26=COUNT(Output!$B$35:F$35),Inputs!$B59-Calculations!$C26*(Calculations!$E26-1)+Calculations!$D26,0))</f>
        <v>1421.904761904762</v>
      </c>
      <c r="G86" s="46">
        <f>IF(Calculations!$E26&gt;COUNT(Output!$B$35:G$35),Calculations!$B26,IF(Calculations!$E26=COUNT(Output!$B$35:G$35),Inputs!$B59-Calculations!$C26*(Calculations!$E26-1)+Calculations!$D26,0))</f>
        <v>1421.904761904762</v>
      </c>
      <c r="H86" s="46">
        <f>IF(Calculations!$E26&gt;COUNT(Output!$B$35:H$35),Calculations!$B26,IF(Calculations!$E26=COUNT(Output!$B$35:H$35),Inputs!$B59-Calculations!$C26*(Calculations!$E26-1)+Calculations!$D26,0))</f>
        <v>1421.904761904762</v>
      </c>
      <c r="I86" s="46">
        <f>IF(Calculations!$E26&gt;COUNT(Output!$B$35:I$35),Calculations!$B26,IF(Calculations!$E26=COUNT(Output!$B$35:I$35),Inputs!$B59-Calculations!$C26*(Calculations!$E26-1)+Calculations!$D26,0))</f>
        <v>1421.904761904762</v>
      </c>
      <c r="J86" s="46">
        <f>IF(Calculations!$E26&gt;COUNT(Output!$B$35:J$35),Calculations!$B26,IF(Calculations!$E26=COUNT(Output!$B$35:J$35),Inputs!$B59-Calculations!$C26*(Calculations!$E26-1)+Calculations!$D26,0))</f>
        <v>1421.904761904762</v>
      </c>
      <c r="K86" s="46">
        <f>IF(Calculations!$E26&gt;COUNT(Output!$B$35:K$35),Calculations!$B26,IF(Calculations!$E26=COUNT(Output!$B$35:K$35),Inputs!$B59-Calculations!$C26*(Calculations!$E26-1)+Calculations!$D26,0))</f>
        <v>1421.904761904762</v>
      </c>
      <c r="L86" s="46">
        <f>IF(Calculations!$E26&gt;COUNT(Output!$B$35:L$35),Calculations!$B26,IF(Calculations!$E26=COUNT(Output!$B$35:L$35),Inputs!$B59-Calculations!$C26*(Calculations!$E26-1)+Calculations!$D26,0))</f>
        <v>1421.904761904762</v>
      </c>
      <c r="M86" s="46">
        <f>IF(Calculations!$E26&gt;COUNT(Output!$B$35:M$35),Calculations!$B26,IF(Calculations!$E26=COUNT(Output!$B$35:M$35),Inputs!$B59-Calculations!$C26*(Calculations!$E26-1)+Calculations!$D26,0))</f>
        <v>1421.904761904762</v>
      </c>
      <c r="N86" s="46">
        <f>IF(Calculations!$E26&gt;COUNT(Output!$B$35:N$35),Calculations!$B26,IF(Calculations!$E26=COUNT(Output!$B$35:N$35),Inputs!$B59-Calculations!$C26*(Calculations!$E26-1)+Calculations!$D26,0))</f>
        <v>1421.904761904762</v>
      </c>
      <c r="O86" s="46">
        <f>IF(Calculations!$E26&gt;COUNT(Output!$B$35:O$35),Calculations!$B26,IF(Calculations!$E26=COUNT(Output!$B$35:O$35),Inputs!$B59-Calculations!$C26*(Calculations!$E26-1)+Calculations!$D26,0))</f>
        <v>1421.904761904762</v>
      </c>
      <c r="P86" s="46">
        <f>IF(Calculations!$E26&gt;COUNT(Output!$B$35:P$35),Calculations!$B26,IF(Calculations!$E26=COUNT(Output!$B$35:P$35),Inputs!$B59-Calculations!$C26*(Calculations!$E26-1)+Calculations!$D26,0))</f>
        <v>1421.904761904762</v>
      </c>
      <c r="Q86" s="46">
        <f>IF(Calculations!$E26&gt;COUNT(Output!$B$35:Q$35),Calculations!$B26,IF(Calculations!$E26=COUNT(Output!$B$35:Q$35),Inputs!$B59-Calculations!$C26*(Calculations!$E26-1)+Calculations!$D26,0))</f>
        <v>1421.904761904762</v>
      </c>
      <c r="R86" s="46">
        <f>IF(Calculations!$E26&gt;COUNT(Output!$B$35:R$35),Calculations!$B26,IF(Calculations!$E26=COUNT(Output!$B$35:R$35),Inputs!$B59-Calculations!$C26*(Calculations!$E26-1)+Calculations!$D26,0))</f>
        <v>1421.904761904762</v>
      </c>
      <c r="S86" s="46">
        <f>IF(Calculations!$E26&gt;COUNT(Output!$B$35:S$35),Calculations!$B26,IF(Calculations!$E26=COUNT(Output!$B$35:S$35),Inputs!$B59-Calculations!$C26*(Calculations!$E26-1)+Calculations!$D26,0))</f>
        <v>1421.904761904762</v>
      </c>
      <c r="T86" s="46">
        <f>IF(Calculations!$E26&gt;COUNT(Output!$B$35:T$35),Calculations!$B26,IF(Calculations!$E26=COUNT(Output!$B$35:T$35),Inputs!$B59-Calculations!$C26*(Calculations!$E26-1)+Calculations!$D26,0))</f>
        <v>1421.904761904762</v>
      </c>
      <c r="U86" s="46">
        <f>IF(Calculations!$E26&gt;COUNT(Output!$B$35:U$35),Calculations!$B26,IF(Calculations!$E26=COUNT(Output!$B$35:U$35),Inputs!$B59-Calculations!$C26*(Calculations!$E26-1)+Calculations!$D26,0))</f>
        <v>1421.904761904762</v>
      </c>
      <c r="V86" s="46">
        <f>IF(Calculations!$E26&gt;COUNT(Output!$B$35:V$35),Calculations!$B26,IF(Calculations!$E26=COUNT(Output!$B$35:V$35),Inputs!$B59-Calculations!$C26*(Calculations!$E26-1)+Calculations!$D26,0))</f>
        <v>1421.904761904762</v>
      </c>
      <c r="W86" s="46">
        <f>IF(Calculations!$E26&gt;COUNT(Output!$B$35:W$35),Calculations!$B26,IF(Calculations!$E26=COUNT(Output!$B$35:W$35),Inputs!$B59-Calculations!$C26*(Calculations!$E26-1)+Calculations!$D26,0))</f>
        <v>1421.904761904762</v>
      </c>
      <c r="X86" s="46">
        <f>IF(Calculations!$E26&gt;COUNT(Output!$B$35:X$35),Calculations!$B26,IF(Calculations!$E26=COUNT(Output!$B$35:X$35),Inputs!$B59-Calculations!$C26*(Calculations!$E26-1)+Calculations!$D26,0))</f>
        <v>1421.904761904762</v>
      </c>
      <c r="Y86" s="46">
        <f>IF(Calculations!$E26&gt;COUNT(Output!$B$35:Y$35),Calculations!$B26,IF(Calculations!$E26=COUNT(Output!$B$35:Y$35),Inputs!$B59-Calculations!$C26*(Calculations!$E26-1)+Calculations!$D26,0))</f>
        <v>1421.904761904762</v>
      </c>
      <c r="Z86" s="46">
        <f>SUMIF($B$13:$Y$13,"Yes",B86:Y86)</f>
        <v>18484.7619047619</v>
      </c>
      <c r="AA86" s="46">
        <f>SUM(B86:M86)</f>
        <v>17062.85714285714</v>
      </c>
      <c r="AB86" s="46">
        <f>SUM(B86:Y86)</f>
        <v>34125.7142857143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169470.2213157717</v>
      </c>
      <c r="C88" s="19">
        <f>SUM(C72:C82,C66,C60,C54,C48,C42,C36)</f>
        <v>151258.2213157717</v>
      </c>
      <c r="D88" s="19">
        <f>SUM(D72:D82,D66,D60,D54,D48,D42,D36)</f>
        <v>158458.2213157717</v>
      </c>
      <c r="E88" s="19">
        <f>SUM(E72:E82,E66,E60,E54,E48,E42,E36)</f>
        <v>151258.2213157717</v>
      </c>
      <c r="F88" s="19">
        <f>SUM(F72:F82,F66,F60,F54,F48,F42,F36)</f>
        <v>151258.2213157717</v>
      </c>
      <c r="G88" s="19">
        <f>SUM(G72:G82,G66,G60,G54,G48,G42,G36)</f>
        <v>133594.2213157717</v>
      </c>
      <c r="H88" s="19">
        <f>SUM(H72:H82,H66,H60,H54,H48,H42,H36)</f>
        <v>169470.2213157717</v>
      </c>
      <c r="I88" s="19">
        <f>SUM(I72:I82,I66,I60,I54,I48,I42,I36)</f>
        <v>151258.2213157717</v>
      </c>
      <c r="J88" s="19">
        <f>SUM(J72:J82,J66,J60,J54,J48,J42,J36)</f>
        <v>158458.2213157717</v>
      </c>
      <c r="K88" s="19">
        <f>SUM(K72:K82,K66,K60,K54,K48,K42,K36)</f>
        <v>151258.2213157717</v>
      </c>
      <c r="L88" s="19">
        <f>SUM(L72:L82,L66,L60,L54,L48,L42,L36)</f>
        <v>151258.2213157717</v>
      </c>
      <c r="M88" s="19">
        <f>SUM(M72:M82,M66,M60,M54,M48,M42,M36)</f>
        <v>133594.2213157717</v>
      </c>
      <c r="N88" s="19">
        <f>SUM(N72:N82,N66,N60,N54,N48,N42,N36)</f>
        <v>169470.2213157717</v>
      </c>
      <c r="O88" s="19">
        <f>SUM(O72:O82,O66,O60,O54,O48,O42,O36)</f>
        <v>151258.2213157717</v>
      </c>
      <c r="P88" s="19">
        <f>SUM(P72:P82,P66,P60,P54,P48,P42,P36)</f>
        <v>158458.2213157717</v>
      </c>
      <c r="Q88" s="19">
        <f>SUM(Q72:Q82,Q66,Q60,Q54,Q48,Q42,Q36)</f>
        <v>151258.2213157717</v>
      </c>
      <c r="R88" s="19">
        <f>SUM(R72:R82,R66,R60,R54,R48,R42,R36)</f>
        <v>151258.2213157717</v>
      </c>
      <c r="S88" s="19">
        <f>SUM(S72:S82,S66,S60,S54,S48,S42,S36)</f>
        <v>133594.2213157717</v>
      </c>
      <c r="T88" s="19">
        <f>SUM(T72:T82,T66,T60,T54,T48,T42,T36)</f>
        <v>169470.2213157717</v>
      </c>
      <c r="U88" s="19">
        <f>SUM(U72:U82,U66,U60,U54,U48,U42,U36)</f>
        <v>151258.2213157717</v>
      </c>
      <c r="V88" s="19">
        <f>SUM(V72:V82,V66,V60,V54,V48,V42,V36)</f>
        <v>158458.2213157717</v>
      </c>
      <c r="W88" s="19">
        <f>SUM(W72:W82,W66,W60,W54,W48,W42,W36)</f>
        <v>151258.2213157717</v>
      </c>
      <c r="X88" s="19">
        <f>SUM(X72:X82,X66,X60,X54,X48,X42,X36)</f>
        <v>151258.2213157717</v>
      </c>
      <c r="Y88" s="19">
        <f>SUM(Y72:Y82,Y66,Y60,Y54,Y48,Y42,Y36)</f>
        <v>133594.2213157717</v>
      </c>
      <c r="Z88" s="19">
        <f>SUMIF($B$13:$Y$13,"Yes",B88:Y88)</f>
        <v>2000064.877105031</v>
      </c>
      <c r="AA88" s="19">
        <f>SUM(B88:M88)</f>
        <v>1830594.65578926</v>
      </c>
      <c r="AB88" s="19">
        <f>SUM(B88:Y88)</f>
        <v>3661189.311578521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23700</v>
      </c>
    </row>
    <row r="95" spans="1:30">
      <c r="A95" t="s">
        <v>61</v>
      </c>
      <c r="B95" s="36">
        <f>Inputs!B47</f>
        <v>112400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66000000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95800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66231900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100960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200960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20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185500</v>
      </c>
    </row>
    <row r="31" spans="1:48">
      <c r="A31" s="5" t="s">
        <v>115</v>
      </c>
      <c r="B31" s="158">
        <v>97750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128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95800</v>
      </c>
    </row>
    <row r="47" spans="1:48" customHeight="1" ht="30">
      <c r="A47" s="57" t="s">
        <v>131</v>
      </c>
      <c r="B47" s="161">
        <v>112400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23700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100000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150000</v>
      </c>
      <c r="B57" s="157">
        <v>0</v>
      </c>
      <c r="C57" s="164" t="s">
        <v>145</v>
      </c>
      <c r="D57" s="165" t="s">
        <v>143</v>
      </c>
      <c r="E57" s="165" t="s">
        <v>92</v>
      </c>
      <c r="F57" s="165" t="s">
        <v>144</v>
      </c>
    </row>
    <row r="58" spans="1:48">
      <c r="A58" s="157">
        <v>100000</v>
      </c>
      <c r="B58" s="157">
        <v>0</v>
      </c>
      <c r="C58" s="164" t="s">
        <v>146</v>
      </c>
      <c r="D58" s="165" t="s">
        <v>143</v>
      </c>
      <c r="E58" s="165" t="s">
        <v>92</v>
      </c>
      <c r="F58" s="165" t="s">
        <v>144</v>
      </c>
    </row>
    <row r="59" spans="1:48">
      <c r="A59" s="157">
        <v>100000</v>
      </c>
      <c r="B59" s="157">
        <v>100960</v>
      </c>
      <c r="C59" s="164" t="s">
        <v>147</v>
      </c>
      <c r="D59" s="165" t="s">
        <v>143</v>
      </c>
      <c r="E59" s="165" t="s">
        <v>92</v>
      </c>
      <c r="F59" s="165" t="s">
        <v>144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149</v>
      </c>
      <c r="C65" s="10" t="s">
        <v>150</v>
      </c>
    </row>
    <row r="66" spans="1:48">
      <c r="A66" s="142" t="s">
        <v>151</v>
      </c>
      <c r="B66" s="159">
        <v>129265</v>
      </c>
      <c r="C66" s="163">
        <v>134657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130287</v>
      </c>
      <c r="C67" s="165">
        <v>125104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136809</v>
      </c>
      <c r="C68" s="165">
        <v>141465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109676</v>
      </c>
      <c r="C69" s="165">
        <v>104947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128785</v>
      </c>
      <c r="C70" s="165">
        <v>129158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73998</v>
      </c>
      <c r="C71" s="167">
        <v>74146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18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2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3798.469544640734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151558.9348311653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20000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38400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1193.868137160941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55574.5617848418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100000</v>
      </c>
      <c r="B26" s="46">
        <f>SUM(C26:D26)</f>
        <v>1421.904761904762</v>
      </c>
      <c r="C26" s="46">
        <f>IF(Inputs!B59&gt;0,(Inputs!A59-Inputs!B59)/(DATE(YEAR(Inputs!$B$76),MONTH(Inputs!$B$76),DAY(Inputs!$B$76))-DATE(YEAR(Inputs!C59),MONTH(Inputs!C59),DAY(Inputs!C59)))*30,0)</f>
        <v>-411.4285714285714</v>
      </c>
      <c r="D26" s="46">
        <f>IF(Inputs!B59&gt;0,Inputs!A59*0.22/12,0)</f>
        <v>1833.333333333333</v>
      </c>
      <c r="E26" s="46">
        <f>IFERROR(ROUNDUP(Inputs!B59/B26,0),0)</f>
        <v>72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43109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43140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43132</v>
      </c>
      <c r="F34" t="s">
        <v>164</v>
      </c>
      <c r="G34" s="128">
        <f>IF(Inputs!B80="","",DATE(YEAR(Inputs!B80),MONTH(Inputs!B80),DAY(Inputs!B80)))</f>
        <v>43109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43168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43160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43199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43191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43229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43221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43260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43252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43290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43282</v>
      </c>
      <c r="F39" t="s">
        <v>172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43321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43313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43352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43344</v>
      </c>
      <c r="F41" t="s">
        <v>230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43382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43374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43413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43443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97</v>
      </c>
      <c r="B41" s="191" t="s">
        <v>128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318</v>
      </c>
      <c r="I52" s="12" t="s">
        <v>126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232</v>
      </c>
      <c r="E53" s="10" t="s">
        <v>191</v>
      </c>
      <c r="F53" s="10" t="s">
        <v>251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128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128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128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128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128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128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128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169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228</v>
      </c>
      <c r="J76" s="11" t="s">
        <v>351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128</v>
      </c>
      <c r="F77" s="12" t="s">
        <v>128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128</v>
      </c>
      <c r="AJ77" s="12"/>
    </row>
    <row r="78" spans="1:36">
      <c r="A78" t="s">
        <v>128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358</v>
      </c>
      <c r="H78" s="12" t="s">
        <v>126</v>
      </c>
      <c r="I78" s="12" t="s">
        <v>359</v>
      </c>
      <c r="J78" s="70" t="s">
        <v>360</v>
      </c>
      <c r="K78" s="12" t="s">
        <v>128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169</v>
      </c>
      <c r="J79" s="70" t="s">
        <v>365</v>
      </c>
      <c r="K79" s="12" t="s">
        <v>128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