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<sst xmlns="http://schemas.openxmlformats.org/spreadsheetml/2006/main" uniqueCount="372">
  <si>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</si>
  <si>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</si>
  <si>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</si>
  <si>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</si>
  <si>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</si>
  <si>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</si>
  <si>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</si>
  <si>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</si>
  <si>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</si>
  <si>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</si>
  <si>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</si>
  <si>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</si>
  <si>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</si>
  <si>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</si>
  <si>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</si>
  <si>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</si>
  <si>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</si>
  <si>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</si>
  <si>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</si>
  <si>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</si>
  <si>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</si>
  <si>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</si>
  <si>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</si>
  <si>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</si>
  <si>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</si>
  <si>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</si>
  <si>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</si>
  <si>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</si>
  <si>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</si>
  <si>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</si>
  <si>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</si>
  <si>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</si>
  <si>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</si>
  <si>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</si>
  <si>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</si>
  <si>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</si>
  <si>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</si>
  <si>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</si>
  <si>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</si>
  <si>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</si>
  <si>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</si>
  <si>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</si>
  <si>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</si>
  <si>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</si>
  <si>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</si>
  <si>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</si>
  <si>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</si>
  <si>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</si>
  <si>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</si>
  <si>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</si>
  <si>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</si>
  <si>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</si>
  <si>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</si>
  <si>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</si>
  <si>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</si>
  <si>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</si>
  <si>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</si>
  <si>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</si>
  <si>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</si>
  <si>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</si>
  <si>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</si>
  <si>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</si>
  <si>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</si>
  <si>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</si>
  <si>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</si>
  <si>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</si>
  <si>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</si>
  <si>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</si>
  <si>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</si>
  <si>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</si>
  <si>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</si>
  <si>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</si>
  <si>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</si>
  <si>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</si>
  <si>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</si>
  <si>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</si>
  <si>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</si>
  <si>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</si>
  <si>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</si>
  <si>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</si>
  <si>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</si>
  <si>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</si>
  <si>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</si>
  <si>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</si>
  <si>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</si>
  <si>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</si>
  <si>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</si>
  <si>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</si>
  <si>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</si>
  <si>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</si>
  <si>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</si>
  <si>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</si>
  <si>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</si>
  <si>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</si>
  <si>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</si>
  <si>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</si>
  <si>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</si>
  <si>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</si>
  <si>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</si>
  <si>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</si>
  <si>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</si>
  <si>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</si>
  <si>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</si>
  <si>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</si>
  <si>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</si>
  <si>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</si>
  <si>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</si>
  <si>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</si>
  <si>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</si>
  <si>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</si>
  <si>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</si>
  <si>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</si>
  <si>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</si>
  <si>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</si>
  <si>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Husbands 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</si>
  <si>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</si>
  <si>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</si>
  <si>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</si>
  <si>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</si>
  <si>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</si>
  <si>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</si>
  <si>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</si>
  <si>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</si>
  <si>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</si>
  <si>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</si>
  <si>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</si>
  <si>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</si>
  <si>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</si>
  <si>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</si>
  <si>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</si>
  <si>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</si>
  <si>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</si>
  <si>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</si>
  <si>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</si>
  <si>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</si>
  <si>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</si>
  <si>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</si>
  <si>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</si>
  <si>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</si>
  <si>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</si>
  <si>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</si>
  <si>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</si>
  <si>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</si>
  <si>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12/11/2017</t>
  </si>
  <si>
    <t>Mshwari</t>
  </si>
  <si>
    <t>1382 days in arrears due to ignorance</t>
  </si>
  <si>
    <t>4/30/2017</t>
  </si>
  <si>
    <t>No arrears</t>
  </si>
  <si>
    <t>9/20/2017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</si>
  <si>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</si>
  <si>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</si>
  <si>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</si>
  <si>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</si>
  <si>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</si>
  <si>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</si>
  <si>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</si>
  <si>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</si>
  <si>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</si>
  <si>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</si>
  <si>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</si>
  <si>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</si>
  <si>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2017/12/11</t>
  </si>
  <si>
    <t>Loan terms</t>
  </si>
  <si>
    <t>Expected disbursement date</t>
  </si>
  <si>
    <t>Expected first repayment date</t>
  </si>
  <si>
    <t>2017/12/14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</si>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</sst>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Husbands 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0.2771589412047521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0.1005814867201006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32000</v>
      </c>
    </row>
    <row r="17" spans="1:7">
      <c r="B17" s="1" t="s">
        <v>11</v>
      </c>
      <c r="C17" s="36">
        <f>SUM(Output!B6:M6)</f>
        <v>1065486.60321342</v>
      </c>
    </row>
    <row r="18" spans="1:7">
      <c r="B18" s="1" t="s">
        <v>12</v>
      </c>
      <c r="C18" s="36">
        <f>MIN(Output!B6:M6)</f>
        <v>-116866.7264943128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573476.9340782741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533.3333333333334</v>
      </c>
    </row>
    <row r="25" spans="1:7">
      <c r="B25" s="1" t="s">
        <v>18</v>
      </c>
      <c r="C25" s="36">
        <f>MAX(Inputs!A56:A60)</f>
        <v>1000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1333.27350568719</v>
      </c>
      <c r="C6" s="51">
        <f>C30-C88</f>
        <v>-14866.72649431281</v>
      </c>
      <c r="D6" s="51">
        <f>D30-D88</f>
        <v>573476.9340782741</v>
      </c>
      <c r="E6" s="51">
        <f>E30-E88</f>
        <v>41533.27350568719</v>
      </c>
      <c r="F6" s="51">
        <f>F30-F88</f>
        <v>-116866.7264943128</v>
      </c>
      <c r="G6" s="51">
        <f>G30-G88</f>
        <v>27133.27350568719</v>
      </c>
      <c r="H6" s="51">
        <f>H30-H88</f>
        <v>1333.27350568719</v>
      </c>
      <c r="I6" s="51">
        <f>I30-I88</f>
        <v>27133.27350568719</v>
      </c>
      <c r="J6" s="51">
        <f>J30-J88</f>
        <v>573476.9340782741</v>
      </c>
      <c r="K6" s="51">
        <f>K30-K88</f>
        <v>41533.27350568719</v>
      </c>
      <c r="L6" s="51">
        <f>L30-L88</f>
        <v>-116866.7264943128</v>
      </c>
      <c r="M6" s="51">
        <f>M30-M88</f>
        <v>27133.27350568719</v>
      </c>
      <c r="N6" s="51">
        <f>N30-N88</f>
        <v>1333.27350568719</v>
      </c>
      <c r="O6" s="51">
        <f>O30-O88</f>
        <v>-14866.72649431281</v>
      </c>
      <c r="P6" s="51">
        <f>P30-P88</f>
        <v>573476.9340782741</v>
      </c>
      <c r="Q6" s="51">
        <f>Q30-Q88</f>
        <v>41533.27350568719</v>
      </c>
      <c r="R6" s="51">
        <f>R30-R88</f>
        <v>-116866.7264943128</v>
      </c>
      <c r="S6" s="51">
        <f>S30-S88</f>
        <v>27133.27350568719</v>
      </c>
      <c r="T6" s="51">
        <f>T30-T88</f>
        <v>1333.27350568719</v>
      </c>
      <c r="U6" s="51">
        <f>U30-U88</f>
        <v>27133.27350568719</v>
      </c>
      <c r="V6" s="51">
        <f>V30-V88</f>
        <v>573476.9340782741</v>
      </c>
      <c r="W6" s="51">
        <f>W30-W88</f>
        <v>41533.27350568719</v>
      </c>
      <c r="X6" s="51">
        <f>X30-X88</f>
        <v>-116866.7264943128</v>
      </c>
      <c r="Y6" s="51">
        <f>Y30-Y88</f>
        <v>27133.27350568719</v>
      </c>
      <c r="Z6" s="51">
        <f>SUMIF($B$13:$Y$13,"Yes",B6:Y6)</f>
        <v>1065486.60321342</v>
      </c>
      <c r="AA6" s="51">
        <f>AA30-AA88</f>
        <v>1065486.60321342</v>
      </c>
      <c r="AB6" s="51">
        <f>AB30-AB88</f>
        <v>2130973.206426837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2197</v>
      </c>
      <c r="H7" s="80">
        <f>IF(ISERROR(VLOOKUP(MONTH(H5),Inputs!$D$66:$D$71,1,0)),"",INDEX(Inputs!$B$66:$B$71,MATCH(MONTH(Output!H5),Inputs!$D$66:$D$71,0))-INDEX(Inputs!$C$66:$C$71,MATCH(MONTH(Output!H5),Inputs!$D$66:$D$71,0)))</f>
        <v>3132</v>
      </c>
      <c r="I7" s="80">
        <f>IF(ISERROR(VLOOKUP(MONTH(I5),Inputs!$D$66:$D$71,1,0)),"",INDEX(Inputs!$B$66:$B$71,MATCH(MONTH(Output!I5),Inputs!$D$66:$D$71,0))-INDEX(Inputs!$C$66:$C$71,MATCH(MONTH(Output!I5),Inputs!$D$66:$D$71,0)))</f>
        <v>2050</v>
      </c>
      <c r="J7" s="80">
        <f>IF(ISERROR(VLOOKUP(MONTH(J5),Inputs!$D$66:$D$71,1,0)),"",INDEX(Inputs!$B$66:$B$71,MATCH(MONTH(Output!J5),Inputs!$D$66:$D$71,0))-INDEX(Inputs!$C$66:$C$71,MATCH(MONTH(Output!J5),Inputs!$D$66:$D$71,0)))</f>
        <v>2933</v>
      </c>
      <c r="K7" s="80">
        <f>IF(ISERROR(VLOOKUP(MONTH(K5),Inputs!$D$66:$D$71,1,0)),"",INDEX(Inputs!$B$66:$B$71,MATCH(MONTH(Output!K5),Inputs!$D$66:$D$71,0))-INDEX(Inputs!$C$66:$C$71,MATCH(MONTH(Output!K5),Inputs!$D$66:$D$71,0)))</f>
        <v>1008</v>
      </c>
      <c r="L7" s="80">
        <f>IF(ISERROR(VLOOKUP(MONTH(L5),Inputs!$D$66:$D$71,1,0)),"",INDEX(Inputs!$B$66:$B$71,MATCH(MONTH(Output!L5),Inputs!$D$66:$D$71,0))-INDEX(Inputs!$C$66:$C$71,MATCH(MONTH(Output!L5),Inputs!$D$66:$D$71,0)))</f>
        <v>4184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2197</v>
      </c>
      <c r="T7" s="80">
        <f>IF(ISERROR(VLOOKUP(MONTH(T5),Inputs!$D$66:$D$71,1,0)),"",INDEX(Inputs!$B$66:$B$71,MATCH(MONTH(Output!T5),Inputs!$D$66:$D$71,0))-INDEX(Inputs!$C$66:$C$71,MATCH(MONTH(Output!T5),Inputs!$D$66:$D$71,0)))</f>
        <v>3132</v>
      </c>
      <c r="U7" s="80">
        <f>IF(ISERROR(VLOOKUP(MONTH(U5),Inputs!$D$66:$D$71,1,0)),"",INDEX(Inputs!$B$66:$B$71,MATCH(MONTH(Output!U5),Inputs!$D$66:$D$71,0))-INDEX(Inputs!$C$66:$C$71,MATCH(MONTH(Output!U5),Inputs!$D$66:$D$71,0)))</f>
        <v>2050</v>
      </c>
      <c r="V7" s="80">
        <f>IF(ISERROR(VLOOKUP(MONTH(V5),Inputs!$D$66:$D$71,1,0)),"",INDEX(Inputs!$B$66:$B$71,MATCH(MONTH(Output!V5),Inputs!$D$66:$D$71,0))-INDEX(Inputs!$C$66:$C$71,MATCH(MONTH(Output!V5),Inputs!$D$66:$D$71,0)))</f>
        <v>2933</v>
      </c>
      <c r="W7" s="80">
        <f>IF(ISERROR(VLOOKUP(MONTH(W5),Inputs!$D$66:$D$71,1,0)),"",INDEX(Inputs!$B$66:$B$71,MATCH(MONTH(Output!W5),Inputs!$D$66:$D$71,0))-INDEX(Inputs!$C$66:$C$71,MATCH(MONTH(Output!W5),Inputs!$D$66:$D$71,0)))</f>
        <v>1008</v>
      </c>
      <c r="X7" s="80">
        <f>IF(ISERROR(VLOOKUP(MONTH(X5),Inputs!$D$66:$D$71,1,0)),"",INDEX(Inputs!$B$66:$B$71,MATCH(MONTH(Output!X5),Inputs!$D$66:$D$71,0))-INDEX(Inputs!$C$66:$C$71,MATCH(MONTH(Output!X5),Inputs!$D$66:$D$71,0)))</f>
        <v>4184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320000</v>
      </c>
      <c r="AA9" s="75">
        <f>SUM(B9:M9)</f>
        <v>320000</v>
      </c>
      <c r="AB9" s="75">
        <f>SUM(B9:Y9)</f>
        <v>320000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32000</v>
      </c>
      <c r="C10" s="37">
        <f>SUMPRODUCT((Calculations!$D$33:$D$84=Output!C5)+0,Calculations!$C$33:$C$84)</f>
        <v>32000</v>
      </c>
      <c r="D10" s="37">
        <f>SUMPRODUCT((Calculations!$D$33:$D$84=Output!D5)+0,Calculations!$C$33:$C$84)</f>
        <v>32000</v>
      </c>
      <c r="E10" s="37">
        <f>SUMPRODUCT((Calculations!$D$33:$D$84=Output!E5)+0,Calculations!$C$33:$C$84)</f>
        <v>32000</v>
      </c>
      <c r="F10" s="37">
        <f>SUMPRODUCT((Calculations!$D$33:$D$84=Output!F5)+0,Calculations!$C$33:$C$84)</f>
        <v>32000</v>
      </c>
      <c r="G10" s="37">
        <f>SUMPRODUCT((Calculations!$D$33:$D$84=Output!G5)+0,Calculations!$C$33:$C$84)</f>
        <v>32000</v>
      </c>
      <c r="H10" s="37">
        <f>SUMPRODUCT((Calculations!$D$33:$D$84=Output!H5)+0,Calculations!$C$33:$C$84)</f>
        <v>32000</v>
      </c>
      <c r="I10" s="37">
        <f>SUMPRODUCT((Calculations!$D$33:$D$84=Output!I5)+0,Calculations!$C$33:$C$84)</f>
        <v>32000</v>
      </c>
      <c r="J10" s="37">
        <f>SUMPRODUCT((Calculations!$D$33:$D$84=Output!J5)+0,Calculations!$C$33:$C$84)</f>
        <v>32000</v>
      </c>
      <c r="K10" s="37">
        <f>SUMPRODUCT((Calculations!$D$33:$D$84=Output!K5)+0,Calculations!$C$33:$C$84)</f>
        <v>32000</v>
      </c>
      <c r="L10" s="37">
        <f>SUMPRODUCT((Calculations!$D$33:$D$84=Output!L5)+0,Calculations!$C$33:$C$84)</f>
        <v>32000</v>
      </c>
      <c r="M10" s="37">
        <f>SUMPRODUCT((Calculations!$D$33:$D$84=Output!M5)+0,Calculations!$C$33:$C$84)</f>
        <v>32000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384000</v>
      </c>
      <c r="AA10" s="37">
        <f>SUM(B10:M10)</f>
        <v>384000</v>
      </c>
      <c r="AB10" s="37">
        <f>SUM(B10:Y10)</f>
        <v>384000</v>
      </c>
    </row>
    <row r="11" spans="1:30" customHeight="1" ht="15.75">
      <c r="A11" s="43" t="s">
        <v>31</v>
      </c>
      <c r="B11" s="80">
        <f>B6+B9-B10</f>
        <v>289333.2735056872</v>
      </c>
      <c r="C11" s="80">
        <f>C6+C9-C10</f>
        <v>-46866.72649431281</v>
      </c>
      <c r="D11" s="80">
        <f>D6+D9-D10</f>
        <v>541476.9340782741</v>
      </c>
      <c r="E11" s="80">
        <f>E6+E9-E10</f>
        <v>9533.27350568719</v>
      </c>
      <c r="F11" s="80">
        <f>F6+F9-F10</f>
        <v>-148866.7264943128</v>
      </c>
      <c r="G11" s="80">
        <f>G6+G9-G10</f>
        <v>-4866.72649431281</v>
      </c>
      <c r="H11" s="80">
        <f>H6+H9-H10</f>
        <v>-30666.72649431281</v>
      </c>
      <c r="I11" s="80">
        <f>I6+I9-I10</f>
        <v>-4866.72649431281</v>
      </c>
      <c r="J11" s="80">
        <f>J6+J9-J10</f>
        <v>541476.9340782741</v>
      </c>
      <c r="K11" s="80">
        <f>K6+K9-K10</f>
        <v>9533.27350568719</v>
      </c>
      <c r="L11" s="80">
        <f>L6+L9-L10</f>
        <v>-148866.7264943128</v>
      </c>
      <c r="M11" s="80">
        <f>M6+M9-M10</f>
        <v>-4866.72649431281</v>
      </c>
      <c r="N11" s="80">
        <f>N6+N9-N10</f>
        <v>1333.27350568719</v>
      </c>
      <c r="O11" s="80">
        <f>O6+O9-O10</f>
        <v>-14866.72649431281</v>
      </c>
      <c r="P11" s="80">
        <f>P6+P9-P10</f>
        <v>573476.9340782741</v>
      </c>
      <c r="Q11" s="80">
        <f>Q6+Q9-Q10</f>
        <v>41533.27350568719</v>
      </c>
      <c r="R11" s="80">
        <f>R6+R9-R10</f>
        <v>-116866.7264943128</v>
      </c>
      <c r="S11" s="80">
        <f>S6+S9-S10</f>
        <v>27133.27350568719</v>
      </c>
      <c r="T11" s="80">
        <f>T6+T9-T10</f>
        <v>1333.27350568719</v>
      </c>
      <c r="U11" s="80">
        <f>U6+U9-U10</f>
        <v>27133.27350568719</v>
      </c>
      <c r="V11" s="80">
        <f>V6+V9-V10</f>
        <v>573476.9340782741</v>
      </c>
      <c r="W11" s="80">
        <f>W6+W9-W10</f>
        <v>41533.27350568719</v>
      </c>
      <c r="X11" s="80">
        <f>X6+X9-X10</f>
        <v>-116866.7264943128</v>
      </c>
      <c r="Y11" s="80">
        <f>Y6+Y9-Y10</f>
        <v>27133.27350568719</v>
      </c>
      <c r="Z11" s="85">
        <f>SUMIF($B$13:$Y$13,"Yes",B11:Y11)</f>
        <v>1001486.60321342</v>
      </c>
      <c r="AA11" s="80">
        <f>SUM(B11:M11)</f>
        <v>1001486.60321342</v>
      </c>
      <c r="AB11" s="46">
        <f>SUM(B11:Y11)</f>
        <v>2066973.206426841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0.09958508078197399</v>
      </c>
      <c r="C12" s="82">
        <f>IF(C13="Yes",IF(SUM($B$10:C10)/(SUM($B$6:C6)+SUM($B$9:C9))&lt;0,999.99,SUM($B$10:C10)/(SUM($B$6:C6)+SUM($B$9:C9))),"")</f>
        <v>0.2088319283919255</v>
      </c>
      <c r="D12" s="82">
        <f>IF(D13="Yes",IF(SUM($B$10:D10)/(SUM($B$6:D6)+SUM($B$9:D9))&lt;0,999.99,SUM($B$10:D10)/(SUM($B$6:D6)+SUM($B$9:D9))),"")</f>
        <v>0.1090979160174261</v>
      </c>
      <c r="E12" s="82">
        <f>IF(E13="Yes",IF(SUM($B$10:E10)/(SUM($B$6:E6)+SUM($B$9:E9))&lt;0,999.99,SUM($B$10:E10)/(SUM($B$6:E6)+SUM($B$9:E9))),"")</f>
        <v>0.1389074649595593</v>
      </c>
      <c r="F12" s="82">
        <f>IF(F13="Yes",IF(SUM($B$10:F10)/(SUM($B$6:F6)+SUM($B$9:F9))&lt;0,999.99,SUM($B$10:F10)/(SUM($B$6:F6)+SUM($B$9:F9))),"")</f>
        <v>0.1988540962851524</v>
      </c>
      <c r="G12" s="82">
        <f>IF(G13="Yes",IF(SUM($B$10:G10)/(SUM($B$6:G6)+SUM($B$9:G9))&lt;0,999.99,SUM($B$10:G10)/(SUM($B$6:G6)+SUM($B$9:G9))),"")</f>
        <v>0.2308404523716709</v>
      </c>
      <c r="H12" s="82">
        <f>IF(H13="Yes",IF(SUM($B$10:H10)/(SUM($B$6:H6)+SUM($B$9:H9))&lt;0,999.99,SUM($B$10:H10)/(SUM($B$6:H6)+SUM($B$9:H9))),"")</f>
        <v>0.2688828454572478</v>
      </c>
      <c r="I12" s="82">
        <f>IF(I13="Yes",IF(SUM($B$10:I10)/(SUM($B$6:I6)+SUM($B$9:I9))&lt;0,999.99,SUM($B$10:I10)/(SUM($B$6:I6)+SUM($B$9:I9))),"")</f>
        <v>0.297601800782984</v>
      </c>
      <c r="J12" s="82">
        <f>IF(J13="Yes",IF(SUM($B$10:J10)/(SUM($B$6:J6)+SUM($B$9:J9))&lt;0,999.99,SUM($B$10:J10)/(SUM($B$6:J6)+SUM($B$9:J9))),"")</f>
        <v>0.2008806968690565</v>
      </c>
      <c r="K12" s="82">
        <f>IF(K13="Yes",IF(SUM($B$10:K10)/(SUM($B$6:K6)+SUM($B$9:K9))&lt;0,999.99,SUM($B$10:K10)/(SUM($B$6:K6)+SUM($B$9:K9))),"")</f>
        <v>0.2169167905863753</v>
      </c>
      <c r="L12" s="82">
        <f>IF(L13="Yes",IF(SUM($B$10:L10)/(SUM($B$6:L6)+SUM($B$9:L9))&lt;0,999.99,SUM($B$10:L10)/(SUM($B$6:L6)+SUM($B$9:L9))),"")</f>
        <v>0.2591372894677832</v>
      </c>
      <c r="M12" s="82">
        <f>IF(M13="Yes",IF(SUM($B$10:M10)/(SUM($B$6:M6)+SUM($B$9:M9))&lt;0,999.99,SUM($B$10:M10)/(SUM($B$6:M6)+SUM($B$9:M9))),"")</f>
        <v>0.2771589412047521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546343.6605725868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546343.6605725868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546343.6605725868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546343.6605725868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1092687.321145174</v>
      </c>
      <c r="AA18" s="36">
        <f>SUM(B18:M18)</f>
        <v>1092687.321145174</v>
      </c>
      <c r="AB18" s="36">
        <f>SUM(B18:Y18)</f>
        <v>2185374.642290347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53789.47368421053</v>
      </c>
      <c r="C24" s="36">
        <f>IFERROR(Calculations!$P14/12,"")</f>
        <v>53789.47368421053</v>
      </c>
      <c r="D24" s="36">
        <f>IFERROR(Calculations!$P14/12,"")</f>
        <v>53789.47368421053</v>
      </c>
      <c r="E24" s="36">
        <f>IFERROR(Calculations!$P14/12,"")</f>
        <v>53789.47368421053</v>
      </c>
      <c r="F24" s="36">
        <f>IFERROR(Calculations!$P14/12,"")</f>
        <v>53789.47368421053</v>
      </c>
      <c r="G24" s="36">
        <f>IFERROR(Calculations!$P14/12,"")</f>
        <v>53789.47368421053</v>
      </c>
      <c r="H24" s="36">
        <f>IFERROR(Calculations!$P14/12,"")</f>
        <v>53789.47368421053</v>
      </c>
      <c r="I24" s="36">
        <f>IFERROR(Calculations!$P14/12,"")</f>
        <v>53789.47368421053</v>
      </c>
      <c r="J24" s="36">
        <f>IFERROR(Calculations!$P14/12,"")</f>
        <v>53789.47368421053</v>
      </c>
      <c r="K24" s="36">
        <f>IFERROR(Calculations!$P14/12,"")</f>
        <v>53789.47368421053</v>
      </c>
      <c r="L24" s="36">
        <f>IFERROR(Calculations!$P14/12,"")</f>
        <v>53789.47368421053</v>
      </c>
      <c r="M24" s="36">
        <f>IFERROR(Calculations!$P14/12,"")</f>
        <v>53789.47368421053</v>
      </c>
      <c r="N24" s="36">
        <f>IFERROR(Calculations!$P14/12,"")</f>
        <v>53789.47368421053</v>
      </c>
      <c r="O24" s="36">
        <f>IFERROR(Calculations!$P14/12,"")</f>
        <v>53789.47368421053</v>
      </c>
      <c r="P24" s="36">
        <f>IFERROR(Calculations!$P14/12,"")</f>
        <v>53789.47368421053</v>
      </c>
      <c r="Q24" s="36">
        <f>IFERROR(Calculations!$P14/12,"")</f>
        <v>53789.47368421053</v>
      </c>
      <c r="R24" s="36">
        <f>IFERROR(Calculations!$P14/12,"")</f>
        <v>53789.47368421053</v>
      </c>
      <c r="S24" s="36">
        <f>IFERROR(Calculations!$P14/12,"")</f>
        <v>53789.47368421053</v>
      </c>
      <c r="T24" s="36">
        <f>IFERROR(Calculations!$P14/12,"")</f>
        <v>53789.47368421053</v>
      </c>
      <c r="U24" s="36">
        <f>IFERROR(Calculations!$P14/12,"")</f>
        <v>53789.47368421053</v>
      </c>
      <c r="V24" s="36">
        <f>IFERROR(Calculations!$P14/12,"")</f>
        <v>53789.47368421053</v>
      </c>
      <c r="W24" s="36">
        <f>IFERROR(Calculations!$P14/12,"")</f>
        <v>53789.47368421053</v>
      </c>
      <c r="X24" s="36">
        <f>IFERROR(Calculations!$P14/12,"")</f>
        <v>53789.47368421053</v>
      </c>
      <c r="Y24" s="36">
        <f>IFERROR(Calculations!$P14/12,"")</f>
        <v>53789.47368421053</v>
      </c>
      <c r="Z24" s="36">
        <f>SUMIF($B$13:$Y$13,"Yes",B24:Y24)</f>
        <v>645473.6842105263</v>
      </c>
      <c r="AA24" s="36">
        <f>SUM(B24:M24)</f>
        <v>645473.6842105263</v>
      </c>
      <c r="AB24" s="46">
        <f>SUM(B24:Y24)</f>
        <v>1290947.368421053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840000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123789.4736842105</v>
      </c>
      <c r="C30" s="19">
        <f>SUM(C18:C29)</f>
        <v>123789.4736842105</v>
      </c>
      <c r="D30" s="19">
        <f>SUM(D18:D29)</f>
        <v>670133.1342567974</v>
      </c>
      <c r="E30" s="19">
        <f>SUM(E18:E29)</f>
        <v>123789.4736842105</v>
      </c>
      <c r="F30" s="19">
        <f>SUM(F18:F29)</f>
        <v>123789.4736842105</v>
      </c>
      <c r="G30" s="19">
        <f>SUM(G18:G29)</f>
        <v>123789.4736842105</v>
      </c>
      <c r="H30" s="19">
        <f>SUM(H18:H29)</f>
        <v>123789.4736842105</v>
      </c>
      <c r="I30" s="19">
        <f>SUM(I18:I29)</f>
        <v>123789.4736842105</v>
      </c>
      <c r="J30" s="19">
        <f>SUM(J18:J29)</f>
        <v>670133.1342567974</v>
      </c>
      <c r="K30" s="19">
        <f>SUM(K18:K29)</f>
        <v>123789.4736842105</v>
      </c>
      <c r="L30" s="19">
        <f>SUM(L18:L29)</f>
        <v>123789.4736842105</v>
      </c>
      <c r="M30" s="19">
        <f>SUM(M18:M29)</f>
        <v>123789.4736842105</v>
      </c>
      <c r="N30" s="19">
        <f>SUM(N18:N29)</f>
        <v>123789.4736842105</v>
      </c>
      <c r="O30" s="19">
        <f>SUM(O18:O29)</f>
        <v>123789.4736842105</v>
      </c>
      <c r="P30" s="19">
        <f>SUM(P18:P29)</f>
        <v>670133.1342567974</v>
      </c>
      <c r="Q30" s="19">
        <f>SUM(Q18:Q29)</f>
        <v>123789.4736842105</v>
      </c>
      <c r="R30" s="19">
        <f>SUM(R18:R29)</f>
        <v>123789.4736842105</v>
      </c>
      <c r="S30" s="19">
        <f>SUM(S18:S29)</f>
        <v>123789.4736842105</v>
      </c>
      <c r="T30" s="19">
        <f>SUM(T18:T29)</f>
        <v>123789.4736842105</v>
      </c>
      <c r="U30" s="19">
        <f>SUM(U18:U29)</f>
        <v>123789.4736842105</v>
      </c>
      <c r="V30" s="19">
        <f>SUM(V18:V29)</f>
        <v>670133.1342567974</v>
      </c>
      <c r="W30" s="19">
        <f>SUM(W18:W29)</f>
        <v>123789.4736842105</v>
      </c>
      <c r="X30" s="19">
        <f>SUM(X18:X29)</f>
        <v>123789.4736842105</v>
      </c>
      <c r="Y30" s="19">
        <f>SUM(Y18:Y29)</f>
        <v>123789.4736842105</v>
      </c>
      <c r="Z30" s="19">
        <f>SUMIF($B$13:$Y$13,"Yes",B30:Y30)</f>
        <v>2578161.0053557</v>
      </c>
      <c r="AA30" s="19">
        <f>SUM(B30:M30)</f>
        <v>2578161.0053557</v>
      </c>
      <c r="AB30" s="19">
        <f>SUM(B30:Y30)</f>
        <v>5156322.010711398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144000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144000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144000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144000</v>
      </c>
      <c r="Y42" s="36">
        <f>SUM(Y43:Y47)</f>
        <v>0</v>
      </c>
      <c r="Z42" s="36">
        <f>SUMIF($B$13:$Y$13,"Yes",B42:Y42)</f>
        <v>288000</v>
      </c>
      <c r="AA42" s="36">
        <f>SUM(B42:M42)</f>
        <v>288000</v>
      </c>
      <c r="AB42" s="36">
        <f>SUM(B42:Y42)</f>
        <v>576000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144000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144000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144000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144000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288000</v>
      </c>
      <c r="AA43" s="36">
        <f>SUM(B43:M43)</f>
        <v>288000</v>
      </c>
      <c r="AB43" s="36">
        <f>SUM(B43:Y43)</f>
        <v>576000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25800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25800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25800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25800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51600</v>
      </c>
      <c r="AB48" s="46">
        <f>SUM(B48:Y48)</f>
        <v>103200</v>
      </c>
    </row>
    <row r="49" spans="1:30" hidden="true" outlineLevel="1">
      <c r="A49" s="181" t="str">
        <f>Calculations!$A$4</f>
        <v>Potatoes</v>
      </c>
      <c r="B49" s="36">
        <f>N49</f>
        <v>25800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25800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25800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25800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51600</v>
      </c>
      <c r="AB49" s="46">
        <f>SUM(B49:Y49)</f>
        <v>103200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14400</v>
      </c>
      <c r="C66" s="36">
        <f>O66</f>
        <v>14400</v>
      </c>
      <c r="D66" s="36">
        <f>P66</f>
        <v>14400</v>
      </c>
      <c r="E66" s="36">
        <f>Q66</f>
        <v>0</v>
      </c>
      <c r="F66" s="36">
        <f>R66</f>
        <v>14400</v>
      </c>
      <c r="G66" s="36">
        <f>S66</f>
        <v>14400</v>
      </c>
      <c r="H66" s="36">
        <f>T66</f>
        <v>14400</v>
      </c>
      <c r="I66" s="36">
        <f>U66</f>
        <v>14400</v>
      </c>
      <c r="J66" s="36">
        <f>V66</f>
        <v>14400</v>
      </c>
      <c r="K66" s="36">
        <f>W66</f>
        <v>0</v>
      </c>
      <c r="L66" s="36">
        <f>X66</f>
        <v>14400</v>
      </c>
      <c r="M66" s="36">
        <f>Y66</f>
        <v>14400</v>
      </c>
      <c r="N66" s="46">
        <f>SUM(N67:N71)</f>
        <v>14400</v>
      </c>
      <c r="O66" s="46">
        <f>SUM(O67:O71)</f>
        <v>14400</v>
      </c>
      <c r="P66" s="46">
        <f>SUM(P67:P71)</f>
        <v>14400</v>
      </c>
      <c r="Q66" s="46">
        <f>SUM(Q67:Q71)</f>
        <v>0</v>
      </c>
      <c r="R66" s="46">
        <f>SUM(R67:R71)</f>
        <v>14400</v>
      </c>
      <c r="S66" s="46">
        <f>SUM(S67:S71)</f>
        <v>14400</v>
      </c>
      <c r="T66" s="46">
        <f>SUM(T67:T71)</f>
        <v>14400</v>
      </c>
      <c r="U66" s="46">
        <f>SUM(U67:U71)</f>
        <v>14400</v>
      </c>
      <c r="V66" s="46">
        <f>SUM(V67:V71)</f>
        <v>14400</v>
      </c>
      <c r="W66" s="46">
        <f>SUM(W67:W71)</f>
        <v>0</v>
      </c>
      <c r="X66" s="46">
        <f>SUM(X67:X71)</f>
        <v>14400</v>
      </c>
      <c r="Y66" s="46">
        <f>SUM(Y67:Y71)</f>
        <v>14400</v>
      </c>
      <c r="Z66" s="46">
        <f>SUMIF($B$13:$Y$13,"Yes",B66:Y66)</f>
        <v>144000</v>
      </c>
      <c r="AA66" s="46">
        <f>SUM(B66:M66)</f>
        <v>144000</v>
      </c>
      <c r="AB66" s="46">
        <f>SUM(B66:Y66)</f>
        <v>288000</v>
      </c>
    </row>
    <row r="67" spans="1:30" hidden="true" outlineLevel="1">
      <c r="A67" s="181" t="str">
        <f>Calculations!$A$4</f>
        <v>Potatoes</v>
      </c>
      <c r="B67" s="36">
        <f>N67</f>
        <v>14400</v>
      </c>
      <c r="C67" s="36">
        <f>O67</f>
        <v>14400</v>
      </c>
      <c r="D67" s="36">
        <f>P67</f>
        <v>14400</v>
      </c>
      <c r="E67" s="36">
        <f>Q67</f>
        <v>0</v>
      </c>
      <c r="F67" s="36">
        <f>R67</f>
        <v>14400</v>
      </c>
      <c r="G67" s="36">
        <f>S67</f>
        <v>14400</v>
      </c>
      <c r="H67" s="36">
        <f>T67</f>
        <v>14400</v>
      </c>
      <c r="I67" s="36">
        <f>U67</f>
        <v>14400</v>
      </c>
      <c r="J67" s="36">
        <f>V67</f>
        <v>14400</v>
      </c>
      <c r="K67" s="36">
        <f>W67</f>
        <v>0</v>
      </c>
      <c r="L67" s="36">
        <f>X67</f>
        <v>14400</v>
      </c>
      <c r="M67" s="36">
        <f>Y67</f>
        <v>14400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14400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14400</v>
      </c>
      <c r="Z67" s="46">
        <f>SUMIF($B$13:$Y$13,"Yes",B67:Y67)</f>
        <v>144000</v>
      </c>
      <c r="AA67" s="46">
        <f>SUM(B67:M67)</f>
        <v>144000</v>
      </c>
      <c r="AB67" s="46">
        <f>SUM(B67:Y67)</f>
        <v>288000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42000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42000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42000</v>
      </c>
      <c r="AA72" s="46">
        <f>SUM(B72:M72)</f>
        <v>42000</v>
      </c>
      <c r="AB72" s="46">
        <f>SUM(B72:Y72)</f>
        <v>84000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54750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6000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36000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180000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59193.70017852334</v>
      </c>
      <c r="C81" s="46">
        <f>(SUM($AA$18:$AA$29)-SUM($AA$36,$AA$42,$AA$48,$AA$54,$AA$60,$AA$66,$AA$72:$AA$79))*Parameters!$B$37/12</f>
        <v>59193.70017852334</v>
      </c>
      <c r="D81" s="46">
        <f>(SUM($AA$18:$AA$29)-SUM($AA$36,$AA$42,$AA$48,$AA$54,$AA$60,$AA$66,$AA$72:$AA$79))*Parameters!$B$37/12</f>
        <v>59193.70017852334</v>
      </c>
      <c r="E81" s="46">
        <f>(SUM($AA$18:$AA$29)-SUM($AA$36,$AA$42,$AA$48,$AA$54,$AA$60,$AA$66,$AA$72:$AA$79))*Parameters!$B$37/12</f>
        <v>59193.70017852334</v>
      </c>
      <c r="F81" s="46">
        <f>(SUM($AA$18:$AA$29)-SUM($AA$36,$AA$42,$AA$48,$AA$54,$AA$60,$AA$66,$AA$72:$AA$79))*Parameters!$B$37/12</f>
        <v>59193.70017852334</v>
      </c>
      <c r="G81" s="46">
        <f>(SUM($AA$18:$AA$29)-SUM($AA$36,$AA$42,$AA$48,$AA$54,$AA$60,$AA$66,$AA$72:$AA$79))*Parameters!$B$37/12</f>
        <v>59193.70017852334</v>
      </c>
      <c r="H81" s="46">
        <f>(SUM($AA$18:$AA$29)-SUM($AA$36,$AA$42,$AA$48,$AA$54,$AA$60,$AA$66,$AA$72:$AA$79))*Parameters!$B$37/12</f>
        <v>59193.70017852334</v>
      </c>
      <c r="I81" s="46">
        <f>(SUM($AA$18:$AA$29)-SUM($AA$36,$AA$42,$AA$48,$AA$54,$AA$60,$AA$66,$AA$72:$AA$79))*Parameters!$B$37/12</f>
        <v>59193.70017852334</v>
      </c>
      <c r="J81" s="46">
        <f>(SUM($AA$18:$AA$29)-SUM($AA$36,$AA$42,$AA$48,$AA$54,$AA$60,$AA$66,$AA$72:$AA$79))*Parameters!$B$37/12</f>
        <v>59193.70017852334</v>
      </c>
      <c r="K81" s="46">
        <f>(SUM($AA$18:$AA$29)-SUM($AA$36,$AA$42,$AA$48,$AA$54,$AA$60,$AA$66,$AA$72:$AA$79))*Parameters!$B$37/12</f>
        <v>59193.70017852334</v>
      </c>
      <c r="L81" s="46">
        <f>(SUM($AA$18:$AA$29)-SUM($AA$36,$AA$42,$AA$48,$AA$54,$AA$60,$AA$66,$AA$72:$AA$79))*Parameters!$B$37/12</f>
        <v>59193.70017852334</v>
      </c>
      <c r="M81" s="46">
        <f>(SUM($AA$18:$AA$29)-SUM($AA$36,$AA$42,$AA$48,$AA$54,$AA$60,$AA$66,$AA$72:$AA$79))*Parameters!$B$37/12</f>
        <v>59193.70017852334</v>
      </c>
      <c r="N81" s="46">
        <f>(SUM($AA$18:$AA$29)-SUM($AA$36,$AA$42,$AA$48,$AA$54,$AA$60,$AA$66,$AA$72:$AA$79))*Parameters!$B$37/12</f>
        <v>59193.70017852334</v>
      </c>
      <c r="O81" s="46">
        <f>(SUM($AA$18:$AA$29)-SUM($AA$36,$AA$42,$AA$48,$AA$54,$AA$60,$AA$66,$AA$72:$AA$79))*Parameters!$B$37/12</f>
        <v>59193.70017852334</v>
      </c>
      <c r="P81" s="46">
        <f>(SUM($AA$18:$AA$29)-SUM($AA$36,$AA$42,$AA$48,$AA$54,$AA$60,$AA$66,$AA$72:$AA$79))*Parameters!$B$37/12</f>
        <v>59193.70017852334</v>
      </c>
      <c r="Q81" s="46">
        <f>(SUM($AA$18:$AA$29)-SUM($AA$36,$AA$42,$AA$48,$AA$54,$AA$60,$AA$66,$AA$72:$AA$79))*Parameters!$B$37/12</f>
        <v>59193.70017852334</v>
      </c>
      <c r="R81" s="46">
        <f>(SUM($AA$18:$AA$29)-SUM($AA$36,$AA$42,$AA$48,$AA$54,$AA$60,$AA$66,$AA$72:$AA$79))*Parameters!$B$37/12</f>
        <v>59193.70017852334</v>
      </c>
      <c r="S81" s="46">
        <f>(SUM($AA$18:$AA$29)-SUM($AA$36,$AA$42,$AA$48,$AA$54,$AA$60,$AA$66,$AA$72:$AA$79))*Parameters!$B$37/12</f>
        <v>59193.70017852334</v>
      </c>
      <c r="T81" s="46">
        <f>(SUM($AA$18:$AA$29)-SUM($AA$36,$AA$42,$AA$48,$AA$54,$AA$60,$AA$66,$AA$72:$AA$79))*Parameters!$B$37/12</f>
        <v>59193.70017852334</v>
      </c>
      <c r="U81" s="46">
        <f>(SUM($AA$18:$AA$29)-SUM($AA$36,$AA$42,$AA$48,$AA$54,$AA$60,$AA$66,$AA$72:$AA$79))*Parameters!$B$37/12</f>
        <v>59193.70017852334</v>
      </c>
      <c r="V81" s="46">
        <f>(SUM($AA$18:$AA$29)-SUM($AA$36,$AA$42,$AA$48,$AA$54,$AA$60,$AA$66,$AA$72:$AA$79))*Parameters!$B$37/12</f>
        <v>59193.70017852334</v>
      </c>
      <c r="W81" s="46">
        <f>(SUM($AA$18:$AA$29)-SUM($AA$36,$AA$42,$AA$48,$AA$54,$AA$60,$AA$66,$AA$72:$AA$79))*Parameters!$B$37/12</f>
        <v>59193.70017852334</v>
      </c>
      <c r="X81" s="46">
        <f>(SUM($AA$18:$AA$29)-SUM($AA$36,$AA$42,$AA$48,$AA$54,$AA$60,$AA$66,$AA$72:$AA$79))*Parameters!$B$37/12</f>
        <v>59193.70017852334</v>
      </c>
      <c r="Y81" s="46">
        <f>(SUM($AA$18:$AA$29)-SUM($AA$36,$AA$42,$AA$48,$AA$54,$AA$60,$AA$66,$AA$72:$AA$79))*Parameters!$B$37/12</f>
        <v>59193.70017852334</v>
      </c>
      <c r="Z81" s="46">
        <f>SUMIF($B$13:$Y$13,"Yes",B81:Y81)</f>
        <v>710324.4021422799</v>
      </c>
      <c r="AA81" s="46">
        <f>SUM(B81:M81)</f>
        <v>710324.4021422799</v>
      </c>
      <c r="AB81" s="46">
        <f>SUM(B81:Y81)</f>
        <v>1420648.80428456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122456.2001785233</v>
      </c>
      <c r="C88" s="19">
        <f>SUM(C72:C82,C66,C60,C54,C48,C42,C36)</f>
        <v>138656.2001785233</v>
      </c>
      <c r="D88" s="19">
        <f>SUM(D72:D82,D66,D60,D54,D48,D42,D36)</f>
        <v>96656.20017852334</v>
      </c>
      <c r="E88" s="19">
        <f>SUM(E72:E82,E66,E60,E54,E48,E42,E36)</f>
        <v>82256.20017852334</v>
      </c>
      <c r="F88" s="19">
        <f>SUM(F72:F82,F66,F60,F54,F48,F42,F36)</f>
        <v>240656.2001785233</v>
      </c>
      <c r="G88" s="19">
        <f>SUM(G72:G82,G66,G60,G54,G48,G42,G36)</f>
        <v>96656.20017852334</v>
      </c>
      <c r="H88" s="19">
        <f>SUM(H72:H82,H66,H60,H54,H48,H42,H36)</f>
        <v>122456.2001785233</v>
      </c>
      <c r="I88" s="19">
        <f>SUM(I72:I82,I66,I60,I54,I48,I42,I36)</f>
        <v>96656.20017852334</v>
      </c>
      <c r="J88" s="19">
        <f>SUM(J72:J82,J66,J60,J54,J48,J42,J36)</f>
        <v>96656.20017852334</v>
      </c>
      <c r="K88" s="19">
        <f>SUM(K72:K82,K66,K60,K54,K48,K42,K36)</f>
        <v>82256.20017852334</v>
      </c>
      <c r="L88" s="19">
        <f>SUM(L72:L82,L66,L60,L54,L48,L42,L36)</f>
        <v>240656.2001785233</v>
      </c>
      <c r="M88" s="19">
        <f>SUM(M72:M82,M66,M60,M54,M48,M42,M36)</f>
        <v>96656.20017852334</v>
      </c>
      <c r="N88" s="19">
        <f>SUM(N72:N82,N66,N60,N54,N48,N42,N36)</f>
        <v>122456.2001785233</v>
      </c>
      <c r="O88" s="19">
        <f>SUM(O72:O82,O66,O60,O54,O48,O42,O36)</f>
        <v>138656.2001785233</v>
      </c>
      <c r="P88" s="19">
        <f>SUM(P72:P82,P66,P60,P54,P48,P42,P36)</f>
        <v>96656.20017852334</v>
      </c>
      <c r="Q88" s="19">
        <f>SUM(Q72:Q82,Q66,Q60,Q54,Q48,Q42,Q36)</f>
        <v>82256.20017852334</v>
      </c>
      <c r="R88" s="19">
        <f>SUM(R72:R82,R66,R60,R54,R48,R42,R36)</f>
        <v>240656.2001785233</v>
      </c>
      <c r="S88" s="19">
        <f>SUM(S72:S82,S66,S60,S54,S48,S42,S36)</f>
        <v>96656.20017852334</v>
      </c>
      <c r="T88" s="19">
        <f>SUM(T72:T82,T66,T60,T54,T48,T42,T36)</f>
        <v>122456.2001785233</v>
      </c>
      <c r="U88" s="19">
        <f>SUM(U72:U82,U66,U60,U54,U48,U42,U36)</f>
        <v>96656.20017852334</v>
      </c>
      <c r="V88" s="19">
        <f>SUM(V72:V82,V66,V60,V54,V48,V42,V36)</f>
        <v>96656.20017852334</v>
      </c>
      <c r="W88" s="19">
        <f>SUM(W72:W82,W66,W60,W54,W48,W42,W36)</f>
        <v>82256.20017852334</v>
      </c>
      <c r="X88" s="19">
        <f>SUM(X72:X82,X66,X60,X54,X48,X42,X36)</f>
        <v>240656.2001785233</v>
      </c>
      <c r="Y88" s="19">
        <f>SUM(Y72:Y82,Y66,Y60,Y54,Y48,Y42,Y36)</f>
        <v>96656.20017852334</v>
      </c>
      <c r="Z88" s="19">
        <f>SUMIF($B$13:$Y$13,"Yes",B88:Y88)</f>
        <v>1512674.40214228</v>
      </c>
      <c r="AA88" s="19">
        <f>SUM(B88:M88)</f>
        <v>1512674.40214228</v>
      </c>
      <c r="AB88" s="19">
        <f>SUM(B88:Y88)</f>
        <v>3025348.804284561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3181500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320000</v>
      </c>
    </row>
    <row r="107" spans="1:30" customHeight="1" ht="15.75">
      <c r="A107" s="1" t="s">
        <v>72</v>
      </c>
      <c r="B107" s="19">
        <f>SUM(B104:B106)</f>
        <v>320000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70000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93</v>
      </c>
    </row>
    <row r="41" spans="1:48">
      <c r="A41" s="55" t="s">
        <v>124</v>
      </c>
      <c r="B41" s="140">
        <v>42000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350000</v>
      </c>
    </row>
    <row r="46" spans="1:48" customHeight="1" ht="30">
      <c r="A46" s="57" t="s">
        <v>131</v>
      </c>
      <c r="B46" s="161">
        <v>1500</v>
      </c>
    </row>
    <row r="47" spans="1:48" customHeight="1" ht="30">
      <c r="A47" s="57" t="s">
        <v>132</v>
      </c>
      <c r="B47" s="161">
        <v>100000</v>
      </c>
    </row>
    <row r="48" spans="1:48" customHeight="1" ht="30">
      <c r="A48" s="57" t="s">
        <v>133</v>
      </c>
      <c r="B48" s="161">
        <v>1500000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</v>
      </c>
      <c r="B56" s="159">
        <v>0</v>
      </c>
      <c r="C56" s="162" t="s">
        <v>143</v>
      </c>
      <c r="D56" s="163" t="s">
        <v>144</v>
      </c>
      <c r="E56" s="163" t="s">
        <v>93</v>
      </c>
      <c r="F56" s="163" t="s">
        <v>145</v>
      </c>
    </row>
    <row r="57" spans="1:48">
      <c r="A57" s="157">
        <v>200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400</v>
      </c>
      <c r="B58" s="157">
        <v>0</v>
      </c>
      <c r="C58" s="164" t="s">
        <v>148</v>
      </c>
      <c r="D58" s="165" t="s">
        <v>144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234456</v>
      </c>
      <c r="C66" s="163">
        <v>230272</v>
      </c>
      <c r="D66" s="49">
        <f>INDEX(Parameters!$D$79:$D$90,MATCH(Inputs!A66,Parameters!$C$79:$C$90,0))</f>
        <v>10</v>
      </c>
    </row>
    <row r="67" spans="1:48">
      <c r="A67" s="143" t="s">
        <v>153</v>
      </c>
      <c r="B67" s="157">
        <v>262975</v>
      </c>
      <c r="C67" s="165">
        <v>261967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203730</v>
      </c>
      <c r="C68" s="165">
        <v>200797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103214</v>
      </c>
      <c r="C69" s="165">
        <v>101164</v>
      </c>
      <c r="D69" s="49">
        <f>INDEX(Parameters!$D$79:$D$90,MATCH(Inputs!A69,Parameters!$C$79:$C$90,0))</f>
        <v>7</v>
      </c>
    </row>
    <row r="70" spans="1:48">
      <c r="A70" s="143" t="s">
        <v>156</v>
      </c>
      <c r="B70" s="157">
        <v>183214</v>
      </c>
      <c r="C70" s="165">
        <v>180082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120280</v>
      </c>
      <c r="C71" s="167">
        <v>118083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320000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51348.08839967922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1092687.321145174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144000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25800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645473.6842105263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43083</v>
      </c>
      <c r="C33" s="27">
        <f>IF(B33&lt;&gt;"",IF(COUNT($A$33:A33)&lt;=$G$39,0,$G$41)+IF(COUNT($A$33:A33)&lt;=$G$40,0,$G$42),0)</f>
        <v>32000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43114</v>
      </c>
      <c r="C34" s="27">
        <f>IF(B34&lt;&gt;"",IF(COUNT($A$33:A34)&lt;=$G$39,0,$G$41)+IF(COUNT($A$33:A34)&lt;=$G$40,0,$G$42),0)</f>
        <v>32000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43145</v>
      </c>
      <c r="C35" s="27">
        <f>IF(B35&lt;&gt;"",IF(COUNT($A$33:A35)&lt;=$G$39,0,$G$41)+IF(COUNT($A$33:A35)&lt;=$G$40,0,$G$42),0)</f>
        <v>32000</v>
      </c>
      <c r="D35" s="170">
        <f>IFERROR(DATE(YEAR(B35),MONTH(B35),1)," ")</f>
        <v>43132</v>
      </c>
      <c r="F35" t="s">
        <v>166</v>
      </c>
      <c r="G35" s="27">
        <f>Inputs!B81</f>
        <v>320000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43173</v>
      </c>
      <c r="C36" s="27">
        <f>IF(B36&lt;&gt;"",IF(COUNT($A$33:A36)&lt;=$G$39,0,$G$41)+IF(COUNT($A$33:A36)&lt;=$G$40,0,$G$42),0)</f>
        <v>32000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43204</v>
      </c>
      <c r="C37" s="27">
        <f>IF(B37&lt;&gt;"",IF(COUNT($A$33:A37)&lt;=$G$39,0,$G$41)+IF(COUNT($A$33:A37)&lt;=$G$40,0,$G$42),0)</f>
        <v>32000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43234</v>
      </c>
      <c r="C38" s="27">
        <f>IF(B38&lt;&gt;"",IF(COUNT($A$33:A38)&lt;=$G$39,0,$G$41)+IF(COUNT($A$33:A38)&lt;=$G$40,0,$G$42),0)</f>
        <v>32000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43265</v>
      </c>
      <c r="C39" s="27">
        <f>IF(B39&lt;&gt;"",IF(COUNT($A$33:A39)&lt;=$G$39,0,$G$41)+IF(COUNT($A$33:A39)&lt;=$G$40,0,$G$42),0)</f>
        <v>32000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43295</v>
      </c>
      <c r="C40" s="27">
        <f>IF(B40&lt;&gt;"",IF(COUNT($A$33:A40)&lt;=$G$39,0,$G$41)+IF(COUNT($A$33:A40)&lt;=$G$40,0,$G$42),0)</f>
        <v>32000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43326</v>
      </c>
      <c r="C41" s="27">
        <f>IF(B41&lt;&gt;"",IF(COUNT($A$33:A41)&lt;=$G$39,0,$G$41)+IF(COUNT($A$33:A41)&lt;=$G$40,0,$G$42),0)</f>
        <v>32000</v>
      </c>
      <c r="D41" s="170">
        <f>IFERROR(DATE(YEAR(B41),MONTH(B41),1)," ")</f>
        <v>43313</v>
      </c>
      <c r="F41" t="s">
        <v>230</v>
      </c>
      <c r="G41" s="73">
        <f>IFERROR(G35/(G38-G39),"")</f>
        <v>26666.66666666667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43357</v>
      </c>
      <c r="C42" s="27">
        <f>IF(B42&lt;&gt;"",IF(COUNT($A$33:A42)&lt;=$G$39,0,$G$41)+IF(COUNT($A$33:A42)&lt;=$G$40,0,$G$42),0)</f>
        <v>32000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5333.333333333333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43387</v>
      </c>
      <c r="C43" s="27">
        <f>IF(B43&lt;&gt;"",IF(COUNT($A$33:A43)&lt;=$G$39,0,$G$41)+IF(COUNT($A$33:A43)&lt;=$G$40,0,$G$42),0)</f>
        <v>32000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43418</v>
      </c>
      <c r="C44" s="27">
        <f>IF(B44&lt;&gt;"",IF(COUNT($A$33:A44)&lt;=$G$39,0,$G$41)+IF(COUNT($A$33:A44)&lt;=$G$40,0,$G$42),0)</f>
        <v>32000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128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128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109</v>
      </c>
      <c r="H78" s="12" t="s">
        <v>318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169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