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<sst xmlns="http://schemas.openxmlformats.org/spreadsheetml/2006/main" uniqueCount="365">
  <si>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</si>
  <si>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</si>
  <si>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</si>
  <si>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</si>
  <si>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</si>
  <si>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</si>
  <si>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</si>
  <si>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</si>
  <si>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</si>
  <si>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</si>
  <si>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</si>
  <si>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</si>
  <si>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</si>
  <si>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</si>
  <si>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</si>
  <si>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</si>
  <si>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</si>
  <si>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</si>
  <si>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</si>
  <si>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</si>
  <si>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</si>
  <si>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</si>
  <si>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</si>
  <si>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</si>
  <si>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</si>
  <si>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</si>
  <si>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</si>
  <si>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</si>
  <si>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</si>
  <si>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</si>
  <si>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</si>
  <si>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</si>
  <si>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</si>
  <si>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</si>
  <si>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</si>
  <si>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</si>
  <si>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</si>
  <si>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</si>
  <si>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</si>
  <si>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</si>
  <si>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</si>
  <si>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</si>
  <si>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</si>
  <si>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</si>
  <si>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</si>
  <si>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</si>
  <si>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</si>
  <si>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</si>
  <si>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</si>
  <si>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</si>
  <si>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</si>
  <si>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</si>
  <si>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</si>
  <si>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</si>
  <si>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</si>
  <si>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</si>
  <si>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</si>
  <si>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</si>
  <si>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</si>
  <si>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</si>
  <si>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</si>
  <si>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</si>
  <si>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</si>
  <si>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</si>
  <si>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</si>
  <si>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</si>
  <si>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</si>
  <si>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</si>
  <si>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</si>
  <si>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</si>
  <si>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</si>
  <si>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</si>
  <si>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</si>
  <si>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</si>
  <si>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</si>
  <si>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</si>
  <si>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</si>
  <si>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</si>
  <si>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</si>
  <si>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</si>
  <si>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</si>
  <si>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</si>
  <si>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</si>
  <si>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</si>
  <si>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</si>
  <si>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</si>
  <si>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</si>
  <si>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</si>
  <si>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</si>
  <si>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</si>
  <si>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</si>
  <si>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</si>
  <si>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</si>
  <si>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</si>
  <si>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</si>
  <si>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</si>
  <si>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</si>
  <si>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</si>
  <si>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</si>
  <si>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</si>
  <si>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</si>
  <si>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</si>
  <si>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</si>
  <si>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No</t>
  </si>
  <si>
    <t>Always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</si>
  <si>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</si>
  <si>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</si>
  <si>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</si>
  <si>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</si>
  <si>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</si>
  <si>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</si>
  <si>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</si>
  <si>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</si>
  <si>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</si>
  <si>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</si>
  <si>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</si>
  <si>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</si>
  <si>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butchery</t>
  </si>
  <si>
    <t>October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</si>
  <si>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</si>
  <si>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</si>
  <si>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</si>
  <si>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</si>
  <si>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</si>
  <si>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</si>
  <si>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</si>
  <si>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</si>
  <si>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</si>
  <si>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</si>
  <si>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</si>
  <si>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</si>
  <si>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</si>
  <si>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</si>
  <si>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</si>
  <si>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</si>
  <si>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</si>
  <si>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</si>
  <si>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</si>
  <si>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</si>
  <si>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</si>
  <si>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</si>
  <si>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</si>
  <si>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</si>
  <si>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November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</si>
  <si>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</si>
  <si>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</si>
  <si>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</si>
  <si>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</si>
  <si>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</si>
  <si>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</si>
  <si>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</si>
  <si>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2017/12/14</t>
  </si>
  <si>
    <t>Loan terms</t>
  </si>
  <si>
    <t>Expected disbursement date</t>
  </si>
  <si>
    <t>Expected first repayment date</t>
  </si>
  <si>
    <t>2018/1/16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</si>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</sst>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2019</v>
      </c>
    </row>
    <row r="13" spans="1:7">
      <c r="B13" s="1" t="s">
        <v>8</v>
      </c>
      <c r="C13" s="67">
        <f>IFERROR(Output!B107/Output!B101,"")</f>
        <v>0.02575107296137339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-980312.5000000008</v>
      </c>
    </row>
    <row r="18" spans="1:7">
      <c r="B18" s="1" t="s">
        <v>12</v>
      </c>
      <c r="C18" s="36">
        <f>MIN(Output!B6:M6)</f>
        <v>-265026.0416666667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-65026.04166666672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-65026.04166666672</v>
      </c>
      <c r="C6" s="51">
        <f>C30-C88</f>
        <v>-65026.04166666672</v>
      </c>
      <c r="D6" s="51">
        <f>D30-D88</f>
        <v>-65026.04166666672</v>
      </c>
      <c r="E6" s="51">
        <f>E30-E88</f>
        <v>-65026.04166666672</v>
      </c>
      <c r="F6" s="51">
        <f>F30-F88</f>
        <v>-65026.04166666672</v>
      </c>
      <c r="G6" s="51">
        <f>G30-G88</f>
        <v>-65026.04166666672</v>
      </c>
      <c r="H6" s="51">
        <f>H30-H88</f>
        <v>-65026.04166666672</v>
      </c>
      <c r="I6" s="51">
        <f>I30-I88</f>
        <v>-65026.04166666672</v>
      </c>
      <c r="J6" s="51">
        <f>J30-J88</f>
        <v>-65026.04166666672</v>
      </c>
      <c r="K6" s="51">
        <f>K30-K88</f>
        <v>-65026.04166666672</v>
      </c>
      <c r="L6" s="51">
        <f>L30-L88</f>
        <v>-265026.0416666667</v>
      </c>
      <c r="M6" s="51">
        <f>M30-M88</f>
        <v>-65026.04166666672</v>
      </c>
      <c r="N6" s="51">
        <f>N30-N88</f>
        <v>-65026.04166666672</v>
      </c>
      <c r="O6" s="51">
        <f>O30-O88</f>
        <v>-65026.04166666672</v>
      </c>
      <c r="P6" s="51">
        <f>P30-P88</f>
        <v>-65026.04166666672</v>
      </c>
      <c r="Q6" s="51">
        <f>Q30-Q88</f>
        <v>-65026.04166666672</v>
      </c>
      <c r="R6" s="51">
        <f>R30-R88</f>
        <v>-65026.04166666672</v>
      </c>
      <c r="S6" s="51">
        <f>S30-S88</f>
        <v>-65026.04166666672</v>
      </c>
      <c r="T6" s="51">
        <f>T30-T88</f>
        <v>-65026.04166666672</v>
      </c>
      <c r="U6" s="51">
        <f>U30-U88</f>
        <v>-65026.04166666672</v>
      </c>
      <c r="V6" s="51">
        <f>V30-V88</f>
        <v>-65026.04166666672</v>
      </c>
      <c r="W6" s="51">
        <f>W30-W88</f>
        <v>-65026.04166666672</v>
      </c>
      <c r="X6" s="51">
        <f>X30-X88</f>
        <v>-65026.04166666672</v>
      </c>
      <c r="Y6" s="51">
        <f>Y30-Y88</f>
        <v>-65026.04166666672</v>
      </c>
      <c r="Z6" s="51">
        <f>SUMIF($B$13:$Y$13,"Yes",B6:Y6)</f>
        <v>-1045338.541666668</v>
      </c>
      <c r="AA6" s="51">
        <f>AA30-AA88</f>
        <v>-980312.5000000014</v>
      </c>
      <c r="AB6" s="51">
        <f>AB30-AB88</f>
        <v>-1760625.000000005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3050</v>
      </c>
      <c r="I7" s="80">
        <f>IF(ISERROR(VLOOKUP(MONTH(I5),Inputs!$D$66:$D$71,1,0)),"",INDEX(Inputs!$B$66:$B$71,MATCH(MONTH(Output!I5),Inputs!$D$66:$D$71,0))-INDEX(Inputs!$C$66:$C$71,MATCH(MONTH(Output!I5),Inputs!$D$66:$D$71,0)))</f>
        <v>4480</v>
      </c>
      <c r="J7" s="80">
        <f>IF(ISERROR(VLOOKUP(MONTH(J5),Inputs!$D$66:$D$71,1,0)),"",INDEX(Inputs!$B$66:$B$71,MATCH(MONTH(Output!J5),Inputs!$D$66:$D$71,0))-INDEX(Inputs!$C$66:$C$71,MATCH(MONTH(Output!J5),Inputs!$D$66:$D$71,0)))</f>
        <v>2000</v>
      </c>
      <c r="K7" s="80">
        <f>IF(ISERROR(VLOOKUP(MONTH(K5),Inputs!$D$66:$D$71,1,0)),"",INDEX(Inputs!$B$66:$B$71,MATCH(MONTH(Output!K5),Inputs!$D$66:$D$71,0))-INDEX(Inputs!$C$66:$C$71,MATCH(MONTH(Output!K5),Inputs!$D$66:$D$71,0)))</f>
        <v>4077</v>
      </c>
      <c r="L7" s="80">
        <f>IF(ISERROR(VLOOKUP(MONTH(L5),Inputs!$D$66:$D$71,1,0)),"",INDEX(Inputs!$B$66:$B$71,MATCH(MONTH(Output!L5),Inputs!$D$66:$D$71,0))-INDEX(Inputs!$C$66:$C$71,MATCH(MONTH(Output!L5),Inputs!$D$66:$D$71,0)))</f>
        <v>3100</v>
      </c>
      <c r="M7" s="80">
        <f>IF(ISERROR(VLOOKUP(MONTH(M5),Inputs!$D$66:$D$71,1,0)),"",INDEX(Inputs!$B$66:$B$71,MATCH(MONTH(Output!M5),Inputs!$D$66:$D$71,0))-INDEX(Inputs!$C$66:$C$71,MATCH(MONTH(Output!M5),Inputs!$D$66:$D$71,0)))</f>
        <v>2045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3050</v>
      </c>
      <c r="U7" s="80">
        <f>IF(ISERROR(VLOOKUP(MONTH(U5),Inputs!$D$66:$D$71,1,0)),"",INDEX(Inputs!$B$66:$B$71,MATCH(MONTH(Output!U5),Inputs!$D$66:$D$71,0))-INDEX(Inputs!$C$66:$C$71,MATCH(MONTH(Output!U5),Inputs!$D$66:$D$71,0)))</f>
        <v>4480</v>
      </c>
      <c r="V7" s="80">
        <f>IF(ISERROR(VLOOKUP(MONTH(V5),Inputs!$D$66:$D$71,1,0)),"",INDEX(Inputs!$B$66:$B$71,MATCH(MONTH(Output!V5),Inputs!$D$66:$D$71,0))-INDEX(Inputs!$C$66:$C$71,MATCH(MONTH(Output!V5),Inputs!$D$66:$D$71,0)))</f>
        <v>2000</v>
      </c>
      <c r="W7" s="80">
        <f>IF(ISERROR(VLOOKUP(MONTH(W5),Inputs!$D$66:$D$71,1,0)),"",INDEX(Inputs!$B$66:$B$71,MATCH(MONTH(Output!W5),Inputs!$D$66:$D$71,0))-INDEX(Inputs!$C$66:$C$71,MATCH(MONTH(Output!W5),Inputs!$D$66:$D$71,0)))</f>
        <v>4077</v>
      </c>
      <c r="X7" s="80">
        <f>IF(ISERROR(VLOOKUP(MONTH(X5),Inputs!$D$66:$D$71,1,0)),"",INDEX(Inputs!$B$66:$B$71,MATCH(MONTH(Output!X5),Inputs!$D$66:$D$71,0))-INDEX(Inputs!$C$66:$C$71,MATCH(MONTH(Output!X5),Inputs!$D$66:$D$71,0)))</f>
        <v>3100</v>
      </c>
      <c r="Y7" s="80">
        <f>IF(ISERROR(VLOOKUP(MONTH(Y5),Inputs!$D$66:$D$71,1,0)),"",INDEX(Inputs!$B$66:$B$71,MATCH(MONTH(Output!Y5),Inputs!$D$66:$D$71,0))-INDEX(Inputs!$C$66:$C$71,MATCH(MONTH(Output!Y5),Inputs!$D$66:$D$71,0)))</f>
        <v>2045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84973.95833333328</v>
      </c>
      <c r="C11" s="80">
        <f>C6+C9-C10</f>
        <v>-80026.04166666672</v>
      </c>
      <c r="D11" s="80">
        <f>D6+D9-D10</f>
        <v>-80026.04166666672</v>
      </c>
      <c r="E11" s="80">
        <f>E6+E9-E10</f>
        <v>-80026.04166666672</v>
      </c>
      <c r="F11" s="80">
        <f>F6+F9-F10</f>
        <v>-80026.04166666672</v>
      </c>
      <c r="G11" s="80">
        <f>G6+G9-G10</f>
        <v>-80026.04166666672</v>
      </c>
      <c r="H11" s="80">
        <f>H6+H9-H10</f>
        <v>-80026.04166666672</v>
      </c>
      <c r="I11" s="80">
        <f>I6+I9-I10</f>
        <v>-80026.04166666672</v>
      </c>
      <c r="J11" s="80">
        <f>J6+J9-J10</f>
        <v>-80026.04166666672</v>
      </c>
      <c r="K11" s="80">
        <f>K6+K9-K10</f>
        <v>-80026.04166666672</v>
      </c>
      <c r="L11" s="80">
        <f>L6+L9-L10</f>
        <v>-280026.0416666667</v>
      </c>
      <c r="M11" s="80">
        <f>M6+M9-M10</f>
        <v>-80026.04166666672</v>
      </c>
      <c r="N11" s="80">
        <f>N6+N9-N10</f>
        <v>-80026.04166666672</v>
      </c>
      <c r="O11" s="80">
        <f>O6+O9-O10</f>
        <v>-65026.04166666672</v>
      </c>
      <c r="P11" s="80">
        <f>P6+P9-P10</f>
        <v>-65026.04166666672</v>
      </c>
      <c r="Q11" s="80">
        <f>Q6+Q9-Q10</f>
        <v>-65026.04166666672</v>
      </c>
      <c r="R11" s="80">
        <f>R6+R9-R10</f>
        <v>-65026.04166666672</v>
      </c>
      <c r="S11" s="80">
        <f>S6+S9-S10</f>
        <v>-65026.04166666672</v>
      </c>
      <c r="T11" s="80">
        <f>T6+T9-T10</f>
        <v>-65026.04166666672</v>
      </c>
      <c r="U11" s="80">
        <f>U6+U9-U10</f>
        <v>-65026.04166666672</v>
      </c>
      <c r="V11" s="80">
        <f>V6+V9-V10</f>
        <v>-65026.04166666672</v>
      </c>
      <c r="W11" s="80">
        <f>W6+W9-W10</f>
        <v>-65026.04166666672</v>
      </c>
      <c r="X11" s="80">
        <f>X6+X9-X10</f>
        <v>-65026.04166666672</v>
      </c>
      <c r="Y11" s="80">
        <f>Y6+Y9-Y10</f>
        <v>-65026.04166666672</v>
      </c>
      <c r="Z11" s="85">
        <f>SUMIF($B$13:$Y$13,"Yes",B11:Y11)</f>
        <v>-1075338.541666667</v>
      </c>
      <c r="AA11" s="80">
        <f>SUM(B11:M11)</f>
        <v>-995312.5000000007</v>
      </c>
      <c r="AB11" s="46">
        <f>SUM(B11:Y11)</f>
        <v>-1790625.000000002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0.7519582245430846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370000.0000000001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29296.875</v>
      </c>
      <c r="C24" s="36">
        <f>IFERROR(Calculations!$P14/12,"")</f>
        <v>29296.875</v>
      </c>
      <c r="D24" s="36">
        <f>IFERROR(Calculations!$P14/12,"")</f>
        <v>29296.875</v>
      </c>
      <c r="E24" s="36">
        <f>IFERROR(Calculations!$P14/12,"")</f>
        <v>29296.875</v>
      </c>
      <c r="F24" s="36">
        <f>IFERROR(Calculations!$P14/12,"")</f>
        <v>29296.875</v>
      </c>
      <c r="G24" s="36">
        <f>IFERROR(Calculations!$P14/12,"")</f>
        <v>29296.875</v>
      </c>
      <c r="H24" s="36">
        <f>IFERROR(Calculations!$P14/12,"")</f>
        <v>29296.875</v>
      </c>
      <c r="I24" s="36">
        <f>IFERROR(Calculations!$P14/12,"")</f>
        <v>29296.875</v>
      </c>
      <c r="J24" s="36">
        <f>IFERROR(Calculations!$P14/12,"")</f>
        <v>29296.875</v>
      </c>
      <c r="K24" s="36">
        <f>IFERROR(Calculations!$P14/12,"")</f>
        <v>29296.875</v>
      </c>
      <c r="L24" s="36">
        <f>IFERROR(Calculations!$P14/12,"")</f>
        <v>29296.875</v>
      </c>
      <c r="M24" s="36">
        <f>IFERROR(Calculations!$P14/12,"")</f>
        <v>29296.875</v>
      </c>
      <c r="N24" s="36">
        <f>IFERROR(Calculations!$P14/12,"")</f>
        <v>29296.875</v>
      </c>
      <c r="O24" s="36">
        <f>IFERROR(Calculations!$P14/12,"")</f>
        <v>29296.875</v>
      </c>
      <c r="P24" s="36">
        <f>IFERROR(Calculations!$P14/12,"")</f>
        <v>29296.875</v>
      </c>
      <c r="Q24" s="36">
        <f>IFERROR(Calculations!$P14/12,"")</f>
        <v>29296.875</v>
      </c>
      <c r="R24" s="36">
        <f>IFERROR(Calculations!$P14/12,"")</f>
        <v>29296.875</v>
      </c>
      <c r="S24" s="36">
        <f>IFERROR(Calculations!$P14/12,"")</f>
        <v>29296.875</v>
      </c>
      <c r="T24" s="36">
        <f>IFERROR(Calculations!$P14/12,"")</f>
        <v>29296.875</v>
      </c>
      <c r="U24" s="36">
        <f>IFERROR(Calculations!$P14/12,"")</f>
        <v>29296.875</v>
      </c>
      <c r="V24" s="36">
        <f>IFERROR(Calculations!$P14/12,"")</f>
        <v>29296.875</v>
      </c>
      <c r="W24" s="36">
        <f>IFERROR(Calculations!$P14/12,"")</f>
        <v>29296.875</v>
      </c>
      <c r="X24" s="36">
        <f>IFERROR(Calculations!$P14/12,"")</f>
        <v>29296.875</v>
      </c>
      <c r="Y24" s="36">
        <f>IFERROR(Calculations!$P14/12,"")</f>
        <v>29296.875</v>
      </c>
      <c r="Z24" s="36">
        <f>SUMIF($B$13:$Y$13,"Yes",B24:Y24)</f>
        <v>380859.375</v>
      </c>
      <c r="AA24" s="36">
        <f>SUM(B24:M24)</f>
        <v>351562.5</v>
      </c>
      <c r="AB24" s="46">
        <f>SUM(B24:Y24)</f>
        <v>703125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217222.2222222222</v>
      </c>
      <c r="C25" s="36">
        <f>IFERROR(Calculations!$P15/12,"")</f>
        <v>217222.2222222222</v>
      </c>
      <c r="D25" s="36">
        <f>IFERROR(Calculations!$P15/12,"")</f>
        <v>217222.2222222222</v>
      </c>
      <c r="E25" s="36">
        <f>IFERROR(Calculations!$P15/12,"")</f>
        <v>217222.2222222222</v>
      </c>
      <c r="F25" s="36">
        <f>IFERROR(Calculations!$P15/12,"")</f>
        <v>217222.2222222222</v>
      </c>
      <c r="G25" s="36">
        <f>IFERROR(Calculations!$P15/12,"")</f>
        <v>217222.2222222222</v>
      </c>
      <c r="H25" s="36">
        <f>IFERROR(Calculations!$P15/12,"")</f>
        <v>217222.2222222222</v>
      </c>
      <c r="I25" s="36">
        <f>IFERROR(Calculations!$P15/12,"")</f>
        <v>217222.2222222222</v>
      </c>
      <c r="J25" s="36">
        <f>IFERROR(Calculations!$P15/12,"")</f>
        <v>217222.2222222222</v>
      </c>
      <c r="K25" s="36">
        <f>IFERROR(Calculations!$P15/12,"")</f>
        <v>217222.2222222222</v>
      </c>
      <c r="L25" s="36">
        <f>IFERROR(Calculations!$P15/12,"")</f>
        <v>217222.2222222222</v>
      </c>
      <c r="M25" s="36">
        <f>IFERROR(Calculations!$P15/12,"")</f>
        <v>217222.2222222222</v>
      </c>
      <c r="N25" s="36">
        <f>IFERROR(Calculations!$P15/12,"")</f>
        <v>217222.2222222222</v>
      </c>
      <c r="O25" s="36">
        <f>IFERROR(Calculations!$P15/12,"")</f>
        <v>217222.2222222222</v>
      </c>
      <c r="P25" s="36">
        <f>IFERROR(Calculations!$P15/12,"")</f>
        <v>217222.2222222222</v>
      </c>
      <c r="Q25" s="36">
        <f>IFERROR(Calculations!$P15/12,"")</f>
        <v>217222.2222222222</v>
      </c>
      <c r="R25" s="36">
        <f>IFERROR(Calculations!$P15/12,"")</f>
        <v>217222.2222222222</v>
      </c>
      <c r="S25" s="36">
        <f>IFERROR(Calculations!$P15/12,"")</f>
        <v>217222.2222222222</v>
      </c>
      <c r="T25" s="36">
        <f>IFERROR(Calculations!$P15/12,"")</f>
        <v>217222.2222222222</v>
      </c>
      <c r="U25" s="36">
        <f>IFERROR(Calculations!$P15/12,"")</f>
        <v>217222.2222222222</v>
      </c>
      <c r="V25" s="36">
        <f>IFERROR(Calculations!$P15/12,"")</f>
        <v>217222.2222222222</v>
      </c>
      <c r="W25" s="36">
        <f>IFERROR(Calculations!$P15/12,"")</f>
        <v>217222.2222222222</v>
      </c>
      <c r="X25" s="36">
        <f>IFERROR(Calculations!$P15/12,"")</f>
        <v>217222.2222222222</v>
      </c>
      <c r="Y25" s="36">
        <f>IFERROR(Calculations!$P15/12,"")</f>
        <v>217222.2222222222</v>
      </c>
      <c r="Z25" s="36">
        <f>SUMIF($B$13:$Y$13,"Yes",B25:Y25)</f>
        <v>2823888.888888888</v>
      </c>
      <c r="AA25" s="36">
        <f>SUM(B25:M25)</f>
        <v>2606666.666666666</v>
      </c>
      <c r="AB25" s="46">
        <f>SUM(B25:Y25)</f>
        <v>5213333.33333333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246519.0972222222</v>
      </c>
      <c r="C30" s="19">
        <f>SUM(C18:C29)</f>
        <v>246519.0972222222</v>
      </c>
      <c r="D30" s="19">
        <f>SUM(D18:D29)</f>
        <v>246519.0972222222</v>
      </c>
      <c r="E30" s="19">
        <f>SUM(E18:E29)</f>
        <v>246519.0972222222</v>
      </c>
      <c r="F30" s="19">
        <f>SUM(F18:F29)</f>
        <v>246519.0972222222</v>
      </c>
      <c r="G30" s="19">
        <f>SUM(G18:G29)</f>
        <v>246519.0972222222</v>
      </c>
      <c r="H30" s="19">
        <f>SUM(H18:H29)</f>
        <v>246519.0972222222</v>
      </c>
      <c r="I30" s="19">
        <f>SUM(I18:I29)</f>
        <v>246519.0972222222</v>
      </c>
      <c r="J30" s="19">
        <f>SUM(J18:J29)</f>
        <v>246519.0972222222</v>
      </c>
      <c r="K30" s="19">
        <f>SUM(K18:K29)</f>
        <v>246519.0972222222</v>
      </c>
      <c r="L30" s="19">
        <f>SUM(L18:L29)</f>
        <v>246519.0972222222</v>
      </c>
      <c r="M30" s="19">
        <f>SUM(M18:M29)</f>
        <v>246519.0972222222</v>
      </c>
      <c r="N30" s="19">
        <f>SUM(N18:N29)</f>
        <v>246519.0972222222</v>
      </c>
      <c r="O30" s="19">
        <f>SUM(O18:O29)</f>
        <v>246519.0972222222</v>
      </c>
      <c r="P30" s="19">
        <f>SUM(P18:P29)</f>
        <v>246519.0972222222</v>
      </c>
      <c r="Q30" s="19">
        <f>SUM(Q18:Q29)</f>
        <v>246519.0972222222</v>
      </c>
      <c r="R30" s="19">
        <f>SUM(R18:R29)</f>
        <v>246519.0972222222</v>
      </c>
      <c r="S30" s="19">
        <f>SUM(S18:S29)</f>
        <v>246519.0972222222</v>
      </c>
      <c r="T30" s="19">
        <f>SUM(T18:T29)</f>
        <v>246519.0972222222</v>
      </c>
      <c r="U30" s="19">
        <f>SUM(U18:U29)</f>
        <v>246519.0972222222</v>
      </c>
      <c r="V30" s="19">
        <f>SUM(V18:V29)</f>
        <v>246519.0972222222</v>
      </c>
      <c r="W30" s="19">
        <f>SUM(W18:W29)</f>
        <v>246519.0972222222</v>
      </c>
      <c r="X30" s="19">
        <f>SUM(X18:X29)</f>
        <v>246519.0972222222</v>
      </c>
      <c r="Y30" s="19">
        <f>SUM(Y18:Y29)</f>
        <v>246519.0972222222</v>
      </c>
      <c r="Z30" s="19">
        <f>SUMIF($B$13:$Y$13,"Yes",B30:Y30)</f>
        <v>3204748.263888888</v>
      </c>
      <c r="AA30" s="19">
        <f>SUM(B30:M30)</f>
        <v>2958229.166666666</v>
      </c>
      <c r="AB30" s="19">
        <f>SUM(B30:Y30)</f>
        <v>5916458.33333333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326979.1666666667</v>
      </c>
      <c r="C74" s="46">
        <f>SUM(Calculations!$Q$14:$Q$16)/12</f>
        <v>326979.1666666667</v>
      </c>
      <c r="D74" s="46">
        <f>SUM(Calculations!$Q$14:$Q$16)/12</f>
        <v>326979.1666666667</v>
      </c>
      <c r="E74" s="46">
        <f>SUM(Calculations!$Q$14:$Q$16)/12</f>
        <v>326979.1666666667</v>
      </c>
      <c r="F74" s="46">
        <f>SUM(Calculations!$Q$14:$Q$16)/12</f>
        <v>326979.1666666667</v>
      </c>
      <c r="G74" s="46">
        <f>SUM(Calculations!$Q$14:$Q$16)/12</f>
        <v>326979.1666666667</v>
      </c>
      <c r="H74" s="46">
        <f>SUM(Calculations!$Q$14:$Q$16)/12</f>
        <v>326979.1666666667</v>
      </c>
      <c r="I74" s="46">
        <f>SUM(Calculations!$Q$14:$Q$16)/12</f>
        <v>326979.1666666667</v>
      </c>
      <c r="J74" s="46">
        <f>SUM(Calculations!$Q$14:$Q$16)/12</f>
        <v>326979.1666666667</v>
      </c>
      <c r="K74" s="46">
        <f>SUM(Calculations!$Q$14:$Q$16)/12</f>
        <v>326979.1666666667</v>
      </c>
      <c r="L74" s="46">
        <f>SUM(Calculations!$Q$14:$Q$16)/12</f>
        <v>326979.1666666667</v>
      </c>
      <c r="M74" s="46">
        <f>SUM(Calculations!$Q$14:$Q$16)/12</f>
        <v>326979.1666666667</v>
      </c>
      <c r="N74" s="46">
        <f>SUM(Calculations!$Q$14:$Q$16)/12</f>
        <v>326979.1666666667</v>
      </c>
      <c r="O74" s="46">
        <f>SUM(Calculations!$Q$14:$Q$16)/12</f>
        <v>326979.1666666667</v>
      </c>
      <c r="P74" s="46">
        <f>SUM(Calculations!$Q$14:$Q$16)/12</f>
        <v>326979.1666666667</v>
      </c>
      <c r="Q74" s="46">
        <f>SUM(Calculations!$Q$14:$Q$16)/12</f>
        <v>326979.1666666667</v>
      </c>
      <c r="R74" s="46">
        <f>SUM(Calculations!$Q$14:$Q$16)/12</f>
        <v>326979.1666666667</v>
      </c>
      <c r="S74" s="46">
        <f>SUM(Calculations!$Q$14:$Q$16)/12</f>
        <v>326979.1666666667</v>
      </c>
      <c r="T74" s="46">
        <f>SUM(Calculations!$Q$14:$Q$16)/12</f>
        <v>326979.1666666667</v>
      </c>
      <c r="U74" s="46">
        <f>SUM(Calculations!$Q$14:$Q$16)/12</f>
        <v>326979.1666666667</v>
      </c>
      <c r="V74" s="46">
        <f>SUM(Calculations!$Q$14:$Q$16)/12</f>
        <v>326979.1666666667</v>
      </c>
      <c r="W74" s="46">
        <f>SUM(Calculations!$Q$14:$Q$16)/12</f>
        <v>326979.1666666667</v>
      </c>
      <c r="X74" s="46">
        <f>SUM(Calculations!$Q$14:$Q$16)/12</f>
        <v>326979.1666666667</v>
      </c>
      <c r="Y74" s="46">
        <f>SUM(Calculations!$Q$14:$Q$16)/12</f>
        <v>326979.1666666667</v>
      </c>
      <c r="Z74" s="46">
        <f>SUMIF($B$13:$Y$13,"Yes",B74:Y74)</f>
        <v>4250729.166666666</v>
      </c>
      <c r="AA74" s="46">
        <f>SUM(B74:M74)</f>
        <v>3923750</v>
      </c>
      <c r="AB74" s="46">
        <f>SUM(B74:Y74)</f>
        <v>7847500.000000003</v>
      </c>
    </row>
    <row r="75" spans="1:30">
      <c r="A75" s="16" t="s">
        <v>47</v>
      </c>
      <c r="B75" s="46">
        <f>SUM(Calculations!$R$14:$R$16)/12</f>
        <v>12500</v>
      </c>
      <c r="C75" s="46">
        <f>SUM(Calculations!$R$14:$R$16)/12</f>
        <v>12500</v>
      </c>
      <c r="D75" s="46">
        <f>SUM(Calculations!$R$14:$R$16)/12</f>
        <v>12500</v>
      </c>
      <c r="E75" s="46">
        <f>SUM(Calculations!$R$14:$R$16)/12</f>
        <v>12500</v>
      </c>
      <c r="F75" s="46">
        <f>SUM(Calculations!$R$14:$R$16)/12</f>
        <v>12500</v>
      </c>
      <c r="G75" s="46">
        <f>SUM(Calculations!$R$14:$R$16)/12</f>
        <v>12500</v>
      </c>
      <c r="H75" s="46">
        <f>SUM(Calculations!$R$14:$R$16)/12</f>
        <v>12500</v>
      </c>
      <c r="I75" s="46">
        <f>SUM(Calculations!$R$14:$R$16)/12</f>
        <v>12500</v>
      </c>
      <c r="J75" s="46">
        <f>SUM(Calculations!$R$14:$R$16)/12</f>
        <v>12500</v>
      </c>
      <c r="K75" s="46">
        <f>SUM(Calculations!$R$14:$R$16)/12</f>
        <v>12500</v>
      </c>
      <c r="L75" s="46">
        <f>SUM(Calculations!$R$14:$R$16)/12</f>
        <v>12500</v>
      </c>
      <c r="M75" s="46">
        <f>SUM(Calculations!$R$14:$R$16)/12</f>
        <v>12500</v>
      </c>
      <c r="N75" s="46">
        <f>SUM(Calculations!$R$14:$R$16)/12</f>
        <v>12500</v>
      </c>
      <c r="O75" s="46">
        <f>SUM(Calculations!$R$14:$R$16)/12</f>
        <v>12500</v>
      </c>
      <c r="P75" s="46">
        <f>SUM(Calculations!$R$14:$R$16)/12</f>
        <v>12500</v>
      </c>
      <c r="Q75" s="46">
        <f>SUM(Calculations!$R$14:$R$16)/12</f>
        <v>12500</v>
      </c>
      <c r="R75" s="46">
        <f>SUM(Calculations!$R$14:$R$16)/12</f>
        <v>12500</v>
      </c>
      <c r="S75" s="46">
        <f>SUM(Calculations!$R$14:$R$16)/12</f>
        <v>12500</v>
      </c>
      <c r="T75" s="46">
        <f>SUM(Calculations!$R$14:$R$16)/12</f>
        <v>12500</v>
      </c>
      <c r="U75" s="46">
        <f>SUM(Calculations!$R$14:$R$16)/12</f>
        <v>12500</v>
      </c>
      <c r="V75" s="46">
        <f>SUM(Calculations!$R$14:$R$16)/12</f>
        <v>12500</v>
      </c>
      <c r="W75" s="46">
        <f>SUM(Calculations!$R$14:$R$16)/12</f>
        <v>12500</v>
      </c>
      <c r="X75" s="46">
        <f>SUM(Calculations!$R$14:$R$16)/12</f>
        <v>12500</v>
      </c>
      <c r="Y75" s="46">
        <f>SUM(Calculations!$R$14:$R$16)/12</f>
        <v>12500</v>
      </c>
      <c r="Z75" s="46">
        <f>SUMIF($B$13:$Y$13,"Yes",B75:Y75)</f>
        <v>162500</v>
      </c>
      <c r="AA75" s="46">
        <f>SUM(B75:M75)</f>
        <v>150000</v>
      </c>
      <c r="AB75" s="46">
        <f>SUM(B75:Y75)</f>
        <v>300000</v>
      </c>
    </row>
    <row r="76" spans="1:30">
      <c r="A76" s="16" t="s">
        <v>48</v>
      </c>
      <c r="B76" s="46">
        <f>SUM(Calculations!$S$14:$S$16)/12</f>
        <v>15416.66666666667</v>
      </c>
      <c r="C76" s="46">
        <f>SUM(Calculations!$S$14:$S$16)/12</f>
        <v>15416.66666666667</v>
      </c>
      <c r="D76" s="46">
        <f>SUM(Calculations!$S$14:$S$16)/12</f>
        <v>15416.66666666667</v>
      </c>
      <c r="E76" s="46">
        <f>SUM(Calculations!$S$14:$S$16)/12</f>
        <v>15416.66666666667</v>
      </c>
      <c r="F76" s="46">
        <f>SUM(Calculations!$S$14:$S$16)/12</f>
        <v>15416.66666666667</v>
      </c>
      <c r="G76" s="46">
        <f>SUM(Calculations!$S$14:$S$16)/12</f>
        <v>15416.66666666667</v>
      </c>
      <c r="H76" s="46">
        <f>SUM(Calculations!$S$14:$S$16)/12</f>
        <v>15416.66666666667</v>
      </c>
      <c r="I76" s="46">
        <f>SUM(Calculations!$S$14:$S$16)/12</f>
        <v>15416.66666666667</v>
      </c>
      <c r="J76" s="46">
        <f>SUM(Calculations!$S$14:$S$16)/12</f>
        <v>15416.66666666667</v>
      </c>
      <c r="K76" s="46">
        <f>SUM(Calculations!$S$14:$S$16)/12</f>
        <v>15416.66666666667</v>
      </c>
      <c r="L76" s="46">
        <f>SUM(Calculations!$S$14:$S$16)/12</f>
        <v>15416.66666666667</v>
      </c>
      <c r="M76" s="46">
        <f>SUM(Calculations!$S$14:$S$16)/12</f>
        <v>15416.66666666667</v>
      </c>
      <c r="N76" s="46">
        <f>SUM(Calculations!$S$14:$S$16)/12</f>
        <v>15416.66666666667</v>
      </c>
      <c r="O76" s="46">
        <f>SUM(Calculations!$S$14:$S$16)/12</f>
        <v>15416.66666666667</v>
      </c>
      <c r="P76" s="46">
        <f>SUM(Calculations!$S$14:$S$16)/12</f>
        <v>15416.66666666667</v>
      </c>
      <c r="Q76" s="46">
        <f>SUM(Calculations!$S$14:$S$16)/12</f>
        <v>15416.66666666667</v>
      </c>
      <c r="R76" s="46">
        <f>SUM(Calculations!$S$14:$S$16)/12</f>
        <v>15416.66666666667</v>
      </c>
      <c r="S76" s="46">
        <f>SUM(Calculations!$S$14:$S$16)/12</f>
        <v>15416.66666666667</v>
      </c>
      <c r="T76" s="46">
        <f>SUM(Calculations!$S$14:$S$16)/12</f>
        <v>15416.66666666667</v>
      </c>
      <c r="U76" s="46">
        <f>SUM(Calculations!$S$14:$S$16)/12</f>
        <v>15416.66666666667</v>
      </c>
      <c r="V76" s="46">
        <f>SUM(Calculations!$S$14:$S$16)/12</f>
        <v>15416.66666666667</v>
      </c>
      <c r="W76" s="46">
        <f>SUM(Calculations!$S$14:$S$16)/12</f>
        <v>15416.66666666667</v>
      </c>
      <c r="X76" s="46">
        <f>SUM(Calculations!$S$14:$S$16)/12</f>
        <v>15416.66666666667</v>
      </c>
      <c r="Y76" s="46">
        <f>SUM(Calculations!$S$14:$S$16)/12</f>
        <v>15416.66666666667</v>
      </c>
      <c r="Z76" s="46">
        <f>SUMIF($B$13:$Y$13,"Yes",B76:Y76)</f>
        <v>200416.6666666666</v>
      </c>
      <c r="AA76" s="46">
        <f>SUM(B76:M76)</f>
        <v>185000</v>
      </c>
      <c r="AB76" s="46">
        <f>SUM(B76:Y76)</f>
        <v>370000.0000000001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200000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200000</v>
      </c>
      <c r="AA80" s="46">
        <f>SUM(B80:M80)</f>
        <v>200000</v>
      </c>
      <c r="AB80" s="46">
        <f>SUM(B80:Y80)</f>
        <v>200000</v>
      </c>
    </row>
    <row r="81" spans="1:30">
      <c r="A81" s="43" t="s">
        <v>51</v>
      </c>
      <c r="B81" s="46">
        <f>(SUM($AA$18:$AA$29)-SUM($AA$36,$AA$42,$AA$48,$AA$54,$AA$60,$AA$66,$AA$72:$AA$79))*Parameters!$B$37/12</f>
        <v>-43350.69444444444</v>
      </c>
      <c r="C81" s="46">
        <f>(SUM($AA$18:$AA$29)-SUM($AA$36,$AA$42,$AA$48,$AA$54,$AA$60,$AA$66,$AA$72:$AA$79))*Parameters!$B$37/12</f>
        <v>-43350.69444444444</v>
      </c>
      <c r="D81" s="46">
        <f>(SUM($AA$18:$AA$29)-SUM($AA$36,$AA$42,$AA$48,$AA$54,$AA$60,$AA$66,$AA$72:$AA$79))*Parameters!$B$37/12</f>
        <v>-43350.69444444444</v>
      </c>
      <c r="E81" s="46">
        <f>(SUM($AA$18:$AA$29)-SUM($AA$36,$AA$42,$AA$48,$AA$54,$AA$60,$AA$66,$AA$72:$AA$79))*Parameters!$B$37/12</f>
        <v>-43350.69444444444</v>
      </c>
      <c r="F81" s="46">
        <f>(SUM($AA$18:$AA$29)-SUM($AA$36,$AA$42,$AA$48,$AA$54,$AA$60,$AA$66,$AA$72:$AA$79))*Parameters!$B$37/12</f>
        <v>-43350.69444444444</v>
      </c>
      <c r="G81" s="46">
        <f>(SUM($AA$18:$AA$29)-SUM($AA$36,$AA$42,$AA$48,$AA$54,$AA$60,$AA$66,$AA$72:$AA$79))*Parameters!$B$37/12</f>
        <v>-43350.69444444444</v>
      </c>
      <c r="H81" s="46">
        <f>(SUM($AA$18:$AA$29)-SUM($AA$36,$AA$42,$AA$48,$AA$54,$AA$60,$AA$66,$AA$72:$AA$79))*Parameters!$B$37/12</f>
        <v>-43350.69444444444</v>
      </c>
      <c r="I81" s="46">
        <f>(SUM($AA$18:$AA$29)-SUM($AA$36,$AA$42,$AA$48,$AA$54,$AA$60,$AA$66,$AA$72:$AA$79))*Parameters!$B$37/12</f>
        <v>-43350.69444444444</v>
      </c>
      <c r="J81" s="46">
        <f>(SUM($AA$18:$AA$29)-SUM($AA$36,$AA$42,$AA$48,$AA$54,$AA$60,$AA$66,$AA$72:$AA$79))*Parameters!$B$37/12</f>
        <v>-43350.69444444444</v>
      </c>
      <c r="K81" s="46">
        <f>(SUM($AA$18:$AA$29)-SUM($AA$36,$AA$42,$AA$48,$AA$54,$AA$60,$AA$66,$AA$72:$AA$79))*Parameters!$B$37/12</f>
        <v>-43350.69444444444</v>
      </c>
      <c r="L81" s="46">
        <f>(SUM($AA$18:$AA$29)-SUM($AA$36,$AA$42,$AA$48,$AA$54,$AA$60,$AA$66,$AA$72:$AA$79))*Parameters!$B$37/12</f>
        <v>-43350.69444444444</v>
      </c>
      <c r="M81" s="46">
        <f>(SUM($AA$18:$AA$29)-SUM($AA$36,$AA$42,$AA$48,$AA$54,$AA$60,$AA$66,$AA$72:$AA$79))*Parameters!$B$37/12</f>
        <v>-43350.69444444444</v>
      </c>
      <c r="N81" s="46">
        <f>(SUM($AA$18:$AA$29)-SUM($AA$36,$AA$42,$AA$48,$AA$54,$AA$60,$AA$66,$AA$72:$AA$79))*Parameters!$B$37/12</f>
        <v>-43350.69444444444</v>
      </c>
      <c r="O81" s="46">
        <f>(SUM($AA$18:$AA$29)-SUM($AA$36,$AA$42,$AA$48,$AA$54,$AA$60,$AA$66,$AA$72:$AA$79))*Parameters!$B$37/12</f>
        <v>-43350.69444444444</v>
      </c>
      <c r="P81" s="46">
        <f>(SUM($AA$18:$AA$29)-SUM($AA$36,$AA$42,$AA$48,$AA$54,$AA$60,$AA$66,$AA$72:$AA$79))*Parameters!$B$37/12</f>
        <v>-43350.69444444444</v>
      </c>
      <c r="Q81" s="46">
        <f>(SUM($AA$18:$AA$29)-SUM($AA$36,$AA$42,$AA$48,$AA$54,$AA$60,$AA$66,$AA$72:$AA$79))*Parameters!$B$37/12</f>
        <v>-43350.69444444444</v>
      </c>
      <c r="R81" s="46">
        <f>(SUM($AA$18:$AA$29)-SUM($AA$36,$AA$42,$AA$48,$AA$54,$AA$60,$AA$66,$AA$72:$AA$79))*Parameters!$B$37/12</f>
        <v>-43350.69444444444</v>
      </c>
      <c r="S81" s="46">
        <f>(SUM($AA$18:$AA$29)-SUM($AA$36,$AA$42,$AA$48,$AA$54,$AA$60,$AA$66,$AA$72:$AA$79))*Parameters!$B$37/12</f>
        <v>-43350.69444444444</v>
      </c>
      <c r="T81" s="46">
        <f>(SUM($AA$18:$AA$29)-SUM($AA$36,$AA$42,$AA$48,$AA$54,$AA$60,$AA$66,$AA$72:$AA$79))*Parameters!$B$37/12</f>
        <v>-43350.69444444444</v>
      </c>
      <c r="U81" s="46">
        <f>(SUM($AA$18:$AA$29)-SUM($AA$36,$AA$42,$AA$48,$AA$54,$AA$60,$AA$66,$AA$72:$AA$79))*Parameters!$B$37/12</f>
        <v>-43350.69444444444</v>
      </c>
      <c r="V81" s="46">
        <f>(SUM($AA$18:$AA$29)-SUM($AA$36,$AA$42,$AA$48,$AA$54,$AA$60,$AA$66,$AA$72:$AA$79))*Parameters!$B$37/12</f>
        <v>-43350.69444444444</v>
      </c>
      <c r="W81" s="46">
        <f>(SUM($AA$18:$AA$29)-SUM($AA$36,$AA$42,$AA$48,$AA$54,$AA$60,$AA$66,$AA$72:$AA$79))*Parameters!$B$37/12</f>
        <v>-43350.69444444444</v>
      </c>
      <c r="X81" s="46">
        <f>(SUM($AA$18:$AA$29)-SUM($AA$36,$AA$42,$AA$48,$AA$54,$AA$60,$AA$66,$AA$72:$AA$79))*Parameters!$B$37/12</f>
        <v>-43350.69444444444</v>
      </c>
      <c r="Y81" s="46">
        <f>(SUM($AA$18:$AA$29)-SUM($AA$36,$AA$42,$AA$48,$AA$54,$AA$60,$AA$66,$AA$72:$AA$79))*Parameters!$B$37/12</f>
        <v>-43350.69444444444</v>
      </c>
      <c r="Z81" s="46">
        <f>SUMIF($B$13:$Y$13,"Yes",B81:Y81)</f>
        <v>-563559.0277777778</v>
      </c>
      <c r="AA81" s="46">
        <f>SUM(B81:M81)</f>
        <v>-520208.3333333333</v>
      </c>
      <c r="AB81" s="46">
        <f>SUM(B81:Y81)</f>
        <v>-1040416.666666667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311545.1388888889</v>
      </c>
      <c r="C88" s="19">
        <f>SUM(C72:C82,C66,C60,C54,C48,C42,C36)</f>
        <v>311545.1388888889</v>
      </c>
      <c r="D88" s="19">
        <f>SUM(D72:D82,D66,D60,D54,D48,D42,D36)</f>
        <v>311545.1388888889</v>
      </c>
      <c r="E88" s="19">
        <f>SUM(E72:E82,E66,E60,E54,E48,E42,E36)</f>
        <v>311545.1388888889</v>
      </c>
      <c r="F88" s="19">
        <f>SUM(F72:F82,F66,F60,F54,F48,F42,F36)</f>
        <v>311545.1388888889</v>
      </c>
      <c r="G88" s="19">
        <f>SUM(G72:G82,G66,G60,G54,G48,G42,G36)</f>
        <v>311545.1388888889</v>
      </c>
      <c r="H88" s="19">
        <f>SUM(H72:H82,H66,H60,H54,H48,H42,H36)</f>
        <v>311545.1388888889</v>
      </c>
      <c r="I88" s="19">
        <f>SUM(I72:I82,I66,I60,I54,I48,I42,I36)</f>
        <v>311545.1388888889</v>
      </c>
      <c r="J88" s="19">
        <f>SUM(J72:J82,J66,J60,J54,J48,J42,J36)</f>
        <v>311545.1388888889</v>
      </c>
      <c r="K88" s="19">
        <f>SUM(K72:K82,K66,K60,K54,K48,K42,K36)</f>
        <v>311545.1388888889</v>
      </c>
      <c r="L88" s="19">
        <f>SUM(L72:L82,L66,L60,L54,L48,L42,L36)</f>
        <v>511545.1388888889</v>
      </c>
      <c r="M88" s="19">
        <f>SUM(M72:M82,M66,M60,M54,M48,M42,M36)</f>
        <v>311545.1388888889</v>
      </c>
      <c r="N88" s="19">
        <f>SUM(N72:N82,N66,N60,N54,N48,N42,N36)</f>
        <v>311545.1388888889</v>
      </c>
      <c r="O88" s="19">
        <f>SUM(O72:O82,O66,O60,O54,O48,O42,O36)</f>
        <v>311545.1388888889</v>
      </c>
      <c r="P88" s="19">
        <f>SUM(P72:P82,P66,P60,P54,P48,P42,P36)</f>
        <v>311545.1388888889</v>
      </c>
      <c r="Q88" s="19">
        <f>SUM(Q72:Q82,Q66,Q60,Q54,Q48,Q42,Q36)</f>
        <v>311545.1388888889</v>
      </c>
      <c r="R88" s="19">
        <f>SUM(R72:R82,R66,R60,R54,R48,R42,R36)</f>
        <v>311545.1388888889</v>
      </c>
      <c r="S88" s="19">
        <f>SUM(S72:S82,S66,S60,S54,S48,S42,S36)</f>
        <v>311545.1388888889</v>
      </c>
      <c r="T88" s="19">
        <f>SUM(T72:T82,T66,T60,T54,T48,T42,T36)</f>
        <v>311545.1388888889</v>
      </c>
      <c r="U88" s="19">
        <f>SUM(U72:U82,U66,U60,U54,U48,U42,U36)</f>
        <v>311545.1388888889</v>
      </c>
      <c r="V88" s="19">
        <f>SUM(V72:V82,V66,V60,V54,V48,V42,V36)</f>
        <v>311545.1388888889</v>
      </c>
      <c r="W88" s="19">
        <f>SUM(W72:W82,W66,W60,W54,W48,W42,W36)</f>
        <v>311545.1388888889</v>
      </c>
      <c r="X88" s="19">
        <f>SUM(X72:X82,X66,X60,X54,X48,X42,X36)</f>
        <v>311545.1388888889</v>
      </c>
      <c r="Y88" s="19">
        <f>SUM(Y72:Y82,Y66,Y60,Y54,Y48,Y42,Y36)</f>
        <v>311545.1388888889</v>
      </c>
      <c r="Z88" s="19">
        <f>SUMIF($B$13:$Y$13,"Yes",B88:Y88)</f>
        <v>4250086.805555556</v>
      </c>
      <c r="AA88" s="19">
        <f>SUM(B88:M88)</f>
        <v>3938541.666666667</v>
      </c>
      <c r="AB88" s="19">
        <f>SUM(B88:Y88)</f>
        <v>7677083.333333335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5675000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5825000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150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200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0</v>
      </c>
    </row>
    <row r="27" spans="1:48">
      <c r="A27" s="14" t="s">
        <v>108</v>
      </c>
    </row>
    <row r="29" spans="1:48">
      <c r="A29" s="45" t="s">
        <v>109</v>
      </c>
      <c r="B29" s="156"/>
    </row>
    <row r="30" spans="1:48">
      <c r="A30" s="44" t="s">
        <v>110</v>
      </c>
      <c r="B30" s="157">
        <v>0</v>
      </c>
    </row>
    <row r="31" spans="1:48">
      <c r="A31" s="5" t="s">
        <v>111</v>
      </c>
      <c r="B31" s="158">
        <v>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 t="s">
        <v>117</v>
      </c>
      <c r="B35" s="159">
        <v>200000</v>
      </c>
      <c r="C35" s="145" t="s">
        <v>118</v>
      </c>
      <c r="D35" s="49">
        <f>IFERROR(VLOOKUP(C35,Parameters!$C$79:$D$90,2,0),"")</f>
        <v>10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>
        <v>150000</v>
      </c>
    </row>
    <row r="46" spans="1:48" customHeight="1" ht="30">
      <c r="A46" s="57" t="s">
        <v>128</v>
      </c>
      <c r="B46" s="161">
        <v>0</v>
      </c>
    </row>
    <row r="47" spans="1:48" customHeight="1" ht="30">
      <c r="A47" s="57" t="s">
        <v>129</v>
      </c>
      <c r="B47" s="161">
        <v>0</v>
      </c>
    </row>
    <row r="48" spans="1:48" customHeight="1" ht="30">
      <c r="A48" s="57" t="s">
        <v>130</v>
      </c>
      <c r="B48" s="161">
        <v>0</v>
      </c>
    </row>
    <row r="49" spans="1:48" customHeight="1" ht="30">
      <c r="A49" s="57" t="s">
        <v>131</v>
      </c>
      <c r="B49" s="161">
        <v>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141</v>
      </c>
      <c r="C65" s="10" t="s">
        <v>142</v>
      </c>
    </row>
    <row r="66" spans="1:48">
      <c r="A66" s="142" t="s">
        <v>143</v>
      </c>
      <c r="B66" s="159">
        <v>47145</v>
      </c>
      <c r="C66" s="163">
        <v>45100</v>
      </c>
      <c r="D66" s="49">
        <f>INDEX(Parameters!$D$79:$D$90,MATCH(Inputs!A66,Parameters!$C$79:$C$90,0))</f>
        <v>11</v>
      </c>
    </row>
    <row r="67" spans="1:48">
      <c r="A67" s="143" t="s">
        <v>118</v>
      </c>
      <c r="B67" s="157">
        <v>68350</v>
      </c>
      <c r="C67" s="165">
        <v>65250</v>
      </c>
      <c r="D67" s="49">
        <f>INDEX(Parameters!$D$79:$D$90,MATCH(Inputs!A67,Parameters!$C$79:$C$90,0))</f>
        <v>10</v>
      </c>
    </row>
    <row r="68" spans="1:48">
      <c r="A68" s="143" t="s">
        <v>144</v>
      </c>
      <c r="B68" s="157">
        <v>94277</v>
      </c>
      <c r="C68" s="165">
        <v>90200</v>
      </c>
      <c r="D68" s="49">
        <f>INDEX(Parameters!$D$79:$D$90,MATCH(Inputs!A68,Parameters!$C$79:$C$90,0))</f>
        <v>9</v>
      </c>
    </row>
    <row r="69" spans="1:48">
      <c r="A69" s="143" t="s">
        <v>145</v>
      </c>
      <c r="B69" s="157">
        <v>117100</v>
      </c>
      <c r="C69" s="165">
        <v>115100</v>
      </c>
      <c r="D69" s="49">
        <f>INDEX(Parameters!$D$79:$D$90,MATCH(Inputs!A69,Parameters!$C$79:$C$90,0))</f>
        <v>8</v>
      </c>
    </row>
    <row r="70" spans="1:48">
      <c r="A70" s="143" t="s">
        <v>146</v>
      </c>
      <c r="B70" s="157">
        <v>123680</v>
      </c>
      <c r="C70" s="165">
        <v>119200</v>
      </c>
      <c r="D70" s="49">
        <f>INDEX(Parameters!$D$79:$D$90,MATCH(Inputs!A70,Parameters!$C$79:$C$90,0))</f>
        <v>7</v>
      </c>
    </row>
    <row r="71" spans="1:48">
      <c r="A71" s="144" t="s">
        <v>147</v>
      </c>
      <c r="B71" s="158">
        <v>23050</v>
      </c>
      <c r="C71" s="167">
        <v>20000</v>
      </c>
      <c r="D71" s="49">
        <f>INDEX(Parameters!$D$79:$D$90,MATCH(Inputs!A71,Parameters!$C$79:$C$90,0))</f>
        <v>6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5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150000</v>
      </c>
    </row>
    <row r="82" spans="1:48">
      <c r="A82" t="s">
        <v>157</v>
      </c>
      <c r="B82" s="161">
        <v>20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12</v>
      </c>
      <c r="AD4" s="60">
        <f>IF($A4=0,1/12,IFERROR(INDEX(Parameters!$X$2:$AI$17,MATCH(Calculations!$A4,Parameters!$A$2:$A$17,0),MONTH(Calculations!AD$3)),1/12))</f>
        <v>1</v>
      </c>
      <c r="AE4" s="60">
        <f>IF($A4=0,1/12,IFERROR(INDEX(Parameters!$X$2:$AI$17,MATCH(Calculations!$A4,Parameters!$A$2:$A$17,0),MONTH(Calculations!AE$3)),1/12))</f>
        <v>2</v>
      </c>
      <c r="AF4" s="60">
        <f>IF($A4=0,1/12,IFERROR(INDEX(Parameters!$X$2:$AI$17,MATCH(Calculations!$A4,Parameters!$A$2:$A$17,0),MONTH(Calculations!AF$3)),1/12))</f>
        <v>3</v>
      </c>
      <c r="AG4" s="60">
        <f>IF($A4=0,1/12,IFERROR(INDEX(Parameters!$X$2:$AI$17,MATCH(Calculations!$A4,Parameters!$A$2:$A$17,0),MONTH(Calculations!AG$3)),1/12))</f>
        <v>4</v>
      </c>
      <c r="AH4" s="60">
        <f>IF($A4=0,1/12,IFERROR(INDEX(Parameters!$X$2:$AI$17,MATCH(Calculations!$A4,Parameters!$A$2:$A$17,0),MONTH(Calculations!AH$3)),1/12))</f>
        <v>5</v>
      </c>
      <c r="AI4" s="60">
        <f>IF($A4=0,1/12,IFERROR(INDEX(Parameters!$X$2:$AI$17,MATCH(Calculations!$A4,Parameters!$A$2:$A$17,0),MONTH(Calculations!AI$3)),1/12))</f>
        <v>6</v>
      </c>
      <c r="AJ4" s="60">
        <f>IF($A4=0,1/12,IFERROR(INDEX(Parameters!$X$2:$AI$17,MATCH(Calculations!$A4,Parameters!$A$2:$A$17,0),MONTH(Calculations!AJ$3)),1/12))</f>
        <v>7</v>
      </c>
      <c r="AK4" s="60">
        <f>IF($A4=0,1/12,IFERROR(INDEX(Parameters!$X$2:$AI$17,MATCH(Calculations!$A4,Parameters!$A$2:$A$17,0),MONTH(Calculations!AK$3)),1/12))</f>
        <v>8</v>
      </c>
      <c r="AL4" s="60">
        <f>IF($A4=0,1/12,IFERROR(INDEX(Parameters!$X$2:$AI$17,MATCH(Calculations!$A4,Parameters!$A$2:$A$17,0),MONTH(Calculations!AL$3)),1/12))</f>
        <v>9</v>
      </c>
      <c r="AM4" s="60">
        <f>IF($A4=0,1/12,IFERROR(INDEX(Parameters!$X$2:$AI$17,MATCH(Calculations!$A4,Parameters!$A$2:$A$17,0),MONTH(Calculations!AM$3)),1/12))</f>
        <v>10</v>
      </c>
      <c r="AN4" s="60">
        <f>IF($A4=0,1/12,IFERROR(INDEX(Parameters!$X$2:$AI$17,MATCH(Calculations!$A4,Parameters!$A$2:$A$17,0),MONTH(Calculations!AN$3)),1/12))</f>
        <v>11</v>
      </c>
      <c r="AO4" s="60">
        <f>IF($A4=0,1/12,IFERROR(INDEX(Parameters!$X$2:$AI$17,MATCH(Calculations!$A4,Parameters!$A$2:$A$17,0),MONTH(Calculations!AO$3)),1/12))</f>
        <v>12</v>
      </c>
      <c r="AP4" s="60">
        <f>IF($A4=0,1/12,IFERROR(INDEX(Parameters!$X$2:$AI$17,MATCH(Calculations!$A4,Parameters!$A$2:$A$17,0),MONTH(Calculations!AP$3)),1/12))</f>
        <v>1</v>
      </c>
      <c r="AQ4" s="60">
        <f>IF($A4=0,1/12,IFERROR(INDEX(Parameters!$X$2:$AI$17,MATCH(Calculations!$A4,Parameters!$A$2:$A$17,0),MONTH(Calculations!AQ$3)),1/12))</f>
        <v>2</v>
      </c>
      <c r="AR4" s="60">
        <f>IF($A4=0,1/12,IFERROR(INDEX(Parameters!$X$2:$AI$17,MATCH(Calculations!$A4,Parameters!$A$2:$A$17,0),MONTH(Calculations!AR$3)),1/12))</f>
        <v>3</v>
      </c>
      <c r="AS4" s="60">
        <f>IF($A4=0,1/12,IFERROR(INDEX(Parameters!$X$2:$AI$17,MATCH(Calculations!$A4,Parameters!$A$2:$A$17,0),MONTH(Calculations!AS$3)),1/12))</f>
        <v>4</v>
      </c>
      <c r="AT4" s="60">
        <f>IF($A4=0,1/12,IFERROR(INDEX(Parameters!$X$2:$AI$17,MATCH(Calculations!$A4,Parameters!$A$2:$A$17,0),MONTH(Calculations!AT$3)),1/12))</f>
        <v>5</v>
      </c>
      <c r="AU4" s="60">
        <f>IF($A4=0,1/12,IFERROR(INDEX(Parameters!$X$2:$AI$17,MATCH(Calculations!$A4,Parameters!$A$2:$A$17,0),MONTH(Calculations!AU$3)),1/12))</f>
        <v>6</v>
      </c>
      <c r="AV4" s="60">
        <f>IF($A4=0,1/12,IFERROR(INDEX(Parameters!$X$2:$AI$17,MATCH(Calculations!$A4,Parameters!$A$2:$A$17,0),MONTH(Calculations!AV$3)),1/12))</f>
        <v>7</v>
      </c>
      <c r="AW4" s="60">
        <f>IF($A4=0,1/12,IFERROR(INDEX(Parameters!$X$2:$AI$17,MATCH(Calculations!$A4,Parameters!$A$2:$A$17,0),MONTH(Calculations!AW$3)),1/12))</f>
        <v>8</v>
      </c>
      <c r="AX4" s="60">
        <f>IF($A4=0,1/12,IFERROR(INDEX(Parameters!$X$2:$AI$17,MATCH(Calculations!$A4,Parameters!$A$2:$A$17,0),MONTH(Calculations!AX$3)),1/12))</f>
        <v>9</v>
      </c>
      <c r="AY4" s="60">
        <f>IF($A4=0,1/12,IFERROR(INDEX(Parameters!$X$2:$AI$17,MATCH(Calculations!$A4,Parameters!$A$2:$A$17,0),MONTH(Calculations!AY$3)),1/12))</f>
        <v>10</v>
      </c>
      <c r="AZ4" s="60">
        <f>IF($A4=0,1/12,IFERROR(INDEX(Parameters!$X$2:$AI$17,MATCH(Calculations!$A4,Parameters!$A$2:$A$17,0),MONTH(Calculations!AZ$3)),1/12))</f>
        <v>11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150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1.25</v>
      </c>
      <c r="H14" s="121">
        <f>IFERROR(IF(B14="meat",INDEX(Parameters!$A$22:$P$29,MATCH(Calculations!A14,Parameters!$A$22:$A$29,0),MATCH(Parameters!$I$22,Parameters!$A$22:$P$22,0))*G14,""),"")</f>
        <v>18.75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351562.5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273750</v>
      </c>
      <c r="R14" s="63">
        <f>IFERROR(D14*INDEX(Parameters!$A$22:$P$29,MATCH(Calculations!$A14,Parameters!$A$22:$A$29,0),MATCH(Parameters!$M$22,Parameters!$A$22:$P$22,0)),"")</f>
        <v>30000</v>
      </c>
      <c r="S14" s="63">
        <f>IFERROR(D14*INDEX(Parameters!$A$22:$P$29,MATCH(Calculations!$A14,Parameters!$A$22:$A$29,0),MATCH(Parameters!$N$22,Parameters!$A$22:$P$22,0)),"")</f>
        <v>45000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200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1.7</v>
      </c>
      <c r="H15" s="121">
        <f>IFERROR(IF(B15="meat",INDEX(Parameters!$A$22:$P$29,MATCH(Calculations!A15,Parameters!$A$22:$A$29,0),MATCH(Parameters!$I$22,Parameters!$A$22:$P$22,0))*G15,""),"")</f>
        <v>170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2606666.666666667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3650000</v>
      </c>
      <c r="R15" s="64">
        <f>IFERROR(D15*INDEX(Parameters!$A$22:$P$29,MATCH(Calculations!$A15,Parameters!$A$22:$A$29,0),MATCH(Parameters!$M$22,Parameters!$A$22:$P$22,0)),"")</f>
        <v>120000</v>
      </c>
      <c r="S15" s="64">
        <f>IFERROR(D15*INDEX(Parameters!$A$22:$P$29,MATCH(Calculations!$A15,Parameters!$A$22:$A$29,0),MATCH(Parameters!$N$22,Parameters!$A$22:$P$22,0)),"")</f>
        <v>140000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43116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43101</v>
      </c>
      <c r="F33" t="s">
        <v>153</v>
      </c>
      <c r="G33" s="128">
        <f>IF(Inputs!B79="","",DATE(YEAR(Inputs!B79),MONTH(Inputs!B79),DAY(Inputs!B79)))</f>
        <v>43083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43147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43132</v>
      </c>
      <c r="F34" t="s">
        <v>154</v>
      </c>
      <c r="G34" s="128">
        <f>IF(Inputs!B80="","",DATE(YEAR(Inputs!B80),MONTH(Inputs!B80),DAY(Inputs!B80)))</f>
        <v>43116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43175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43160</v>
      </c>
      <c r="F35" t="s">
        <v>156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43206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43191</v>
      </c>
      <c r="F36" t="s">
        <v>157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43236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43221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43267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43252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43297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43282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43328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43313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43359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43344</v>
      </c>
      <c r="F41" t="s">
        <v>220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43389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43374</v>
      </c>
      <c r="F42" t="s">
        <v>221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43420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43450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105</v>
      </c>
      <c r="B26" s="16" t="s">
        <v>291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102</v>
      </c>
      <c r="B28" s="71" t="s">
        <v>291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291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103</v>
      </c>
      <c r="C41" s="191" t="s">
        <v>121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105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102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307</v>
      </c>
      <c r="H52" s="12" t="s">
        <v>125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222</v>
      </c>
      <c r="E53" s="10" t="s">
        <v>181</v>
      </c>
      <c r="F53" s="10" t="s">
        <v>241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159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218</v>
      </c>
      <c r="J76" s="11" t="s">
        <v>341</v>
      </c>
      <c r="K76" s="11" t="s">
        <v>171</v>
      </c>
      <c r="AJ76" s="12"/>
    </row>
    <row r="77" spans="1:36">
      <c r="A77" t="s">
        <v>121</v>
      </c>
      <c r="B77" s="176">
        <v>0</v>
      </c>
      <c r="C77" s="12" t="s">
        <v>342</v>
      </c>
      <c r="E77" s="12" t="s">
        <v>103</v>
      </c>
      <c r="F77" s="12" t="s">
        <v>103</v>
      </c>
      <c r="G77" s="12" t="s">
        <v>343</v>
      </c>
      <c r="H77" s="12" t="s">
        <v>125</v>
      </c>
      <c r="I77" s="12" t="s">
        <v>344</v>
      </c>
      <c r="J77" s="136" t="s">
        <v>345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308</v>
      </c>
      <c r="I78" s="12" t="s">
        <v>350</v>
      </c>
      <c r="J78" s="70" t="s">
        <v>351</v>
      </c>
      <c r="K78" s="12" t="s">
        <v>103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104</v>
      </c>
      <c r="I79" s="12" t="s">
        <v>159</v>
      </c>
      <c r="J79" s="70" t="s">
        <v>355</v>
      </c>
      <c r="K79" s="12" t="s">
        <v>103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121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121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147</v>
      </c>
      <c r="D84" s="12">
        <f>D83+1</f>
        <v>6</v>
      </c>
    </row>
    <row r="85" spans="1:36">
      <c r="B85" s="176">
        <v>70</v>
      </c>
      <c r="C85" s="12" t="s">
        <v>146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118</v>
      </c>
      <c r="D88" s="12">
        <f>D87+1</f>
        <v>10</v>
      </c>
    </row>
    <row r="89" spans="1:36">
      <c r="C89" s="12" t="s">
        <v>143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