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<sst xmlns="http://schemas.openxmlformats.org/spreadsheetml/2006/main" uniqueCount="375">
  <si>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</si>
  <si>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</si>
  <si>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</si>
  <si>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</si>
  <si>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</si>
  <si>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</si>
  <si>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</si>
  <si>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</si>
  <si>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</si>
  <si>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</si>
  <si>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</si>
  <si>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</si>
  <si>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</si>
  <si>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</si>
  <si>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</si>
  <si>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</si>
  <si>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</si>
  <si>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</si>
  <si>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</si>
  <si>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</si>
  <si>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</si>
  <si>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</si>
  <si>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</si>
  <si>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</si>
  <si>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</si>
  <si>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</si>
  <si>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</si>
  <si>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</si>
  <si>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</si>
  <si>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</si>
  <si>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</si>
  <si>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</si>
  <si>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</si>
  <si>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</si>
  <si>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</si>
  <si>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</si>
  <si>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</si>
  <si>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</si>
  <si>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</si>
  <si>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</si>
  <si>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</si>
  <si>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</si>
  <si>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</si>
  <si>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</si>
  <si>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</si>
  <si>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</si>
  <si>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</si>
  <si>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</si>
  <si>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</si>
  <si>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</si>
  <si>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</si>
  <si>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</si>
  <si>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</si>
  <si>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</si>
  <si>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</si>
  <si>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</si>
  <si>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</si>
  <si>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</si>
  <si>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</si>
  <si>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</si>
  <si>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</si>
  <si>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</si>
  <si>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</si>
  <si>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</si>
  <si>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</si>
  <si>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</si>
  <si>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</si>
  <si>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</si>
  <si>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</si>
  <si>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</si>
  <si>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</si>
  <si>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</si>
  <si>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</si>
  <si>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</si>
  <si>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</si>
  <si>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</si>
  <si>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</si>
  <si>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</si>
  <si>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</si>
  <si>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</si>
  <si>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</si>
  <si>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</si>
  <si>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</si>
  <si>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</si>
  <si>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</si>
  <si>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</si>
  <si>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</si>
  <si>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</si>
  <si>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</si>
  <si>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</si>
  <si>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</si>
  <si>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Inorganic fertizers</t>
  </si>
  <si>
    <t>No</t>
  </si>
  <si>
    <t>Yes using a diesel pump</t>
  </si>
  <si>
    <t>January</t>
  </si>
  <si>
    <t>Tomatoes</t>
  </si>
  <si>
    <t>Yes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</si>
  <si>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</si>
  <si>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</si>
  <si>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</si>
  <si>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</si>
  <si>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</si>
  <si>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</si>
  <si>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</si>
  <si>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</si>
  <si>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</si>
  <si>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</si>
  <si>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</si>
  <si>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</si>
  <si>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</si>
  <si>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</si>
  <si>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</si>
  <si>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</si>
  <si>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</si>
  <si>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</si>
  <si>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</si>
  <si>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</si>
  <si>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</si>
  <si>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</si>
  <si>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</si>
  <si>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</si>
  <si>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</si>
  <si>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</si>
  <si>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</si>
  <si>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</si>
  <si>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</si>
  <si>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</si>
  <si>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</si>
  <si>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</si>
  <si>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</si>
  <si>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</si>
  <si>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</si>
  <si>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</si>
  <si>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</si>
  <si>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</si>
  <si>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</si>
  <si>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</si>
  <si>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</si>
  <si>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</si>
  <si>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</si>
  <si>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</si>
  <si>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</si>
  <si>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1/16/2015</t>
  </si>
  <si>
    <t>cooperative bank</t>
  </si>
  <si>
    <t>good loan history</t>
  </si>
  <si>
    <t>9/24/2016</t>
  </si>
  <si>
    <t>mobile</t>
  </si>
  <si>
    <t>7/23/2015</t>
  </si>
  <si>
    <t>2/12/2017</t>
  </si>
  <si>
    <t>3/3/2016</t>
  </si>
  <si>
    <t>co-op bank</t>
  </si>
  <si>
    <t>Mpesa &amp; bank cash flows (from past statements)</t>
  </si>
  <si>
    <t>Cash inflows</t>
  </si>
  <si>
    <t>Cash outflows</t>
  </si>
  <si>
    <t>December</t>
  </si>
  <si>
    <t>February</t>
  </si>
  <si>
    <t>March</t>
  </si>
  <si>
    <t>April</t>
  </si>
  <si>
    <t>May</t>
  </si>
  <si>
    <t>Loan info</t>
  </si>
  <si>
    <t>Branch ID</t>
  </si>
  <si>
    <t>Submission date</t>
  </si>
  <si>
    <t>2017/12/21</t>
  </si>
  <si>
    <t>Loan terms</t>
  </si>
  <si>
    <t>Expected disbursement date</t>
  </si>
  <si>
    <t>Expected first repayment date</t>
  </si>
  <si>
    <t>2018/1/21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</si>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</sst>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October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Tomatoes,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0.2187365616462143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2018</v>
      </c>
    </row>
    <row r="13" spans="1:7">
      <c r="B13" s="1" t="s">
        <v>8</v>
      </c>
      <c r="C13" s="67">
        <f>IFERROR(Output!B107/Output!B101,"")</f>
        <v>0.1772875816993464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453900.9803725107</v>
      </c>
    </row>
    <row r="18" spans="1:7">
      <c r="B18" s="1" t="s">
        <v>12</v>
      </c>
      <c r="C18" s="36">
        <f>MIN(Output!B6:M6)</f>
        <v>-157354.2211318061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585614.2437094182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70900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1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-5295.849630405221</v>
      </c>
      <c r="C6" s="51">
        <f>C30-C88</f>
        <v>-157354.2211318061</v>
      </c>
      <c r="D6" s="51">
        <f>D30-D88</f>
        <v>-86854.22113180615</v>
      </c>
      <c r="E6" s="51">
        <f>E30-E88</f>
        <v>-104854.2211318061</v>
      </c>
      <c r="F6" s="51">
        <f>F30-F88</f>
        <v>585614.2437094182</v>
      </c>
      <c r="G6" s="51">
        <f>G30-G88</f>
        <v>-31805.24049733923</v>
      </c>
      <c r="H6" s="51">
        <f>H30-H88</f>
        <v>-5295.849630405221</v>
      </c>
      <c r="I6" s="51">
        <f>I30-I88</f>
        <v>-102354.2211318061</v>
      </c>
      <c r="J6" s="51">
        <f>J30-J88</f>
        <v>-86854.22113180615</v>
      </c>
      <c r="K6" s="51">
        <f>K30-K88</f>
        <v>-104854.2211318061</v>
      </c>
      <c r="L6" s="51">
        <f>L30-L88</f>
        <v>585614.2437094182</v>
      </c>
      <c r="M6" s="51">
        <f>M30-M88</f>
        <v>-31805.24049733923</v>
      </c>
      <c r="N6" s="51">
        <f>N30-N88</f>
        <v>-5295.849630405221</v>
      </c>
      <c r="O6" s="51">
        <f>O30-O88</f>
        <v>-157354.2211318061</v>
      </c>
      <c r="P6" s="51">
        <f>P30-P88</f>
        <v>-86854.22113180615</v>
      </c>
      <c r="Q6" s="51">
        <f>Q30-Q88</f>
        <v>-104854.2211318061</v>
      </c>
      <c r="R6" s="51">
        <f>R30-R88</f>
        <v>585614.2437094182</v>
      </c>
      <c r="S6" s="51">
        <f>S30-S88</f>
        <v>-31805.24049733923</v>
      </c>
      <c r="T6" s="51">
        <f>T30-T88</f>
        <v>-5295.849630405221</v>
      </c>
      <c r="U6" s="51">
        <f>U30-U88</f>
        <v>-102354.2211318061</v>
      </c>
      <c r="V6" s="51">
        <f>V30-V88</f>
        <v>-86854.22113180615</v>
      </c>
      <c r="W6" s="51">
        <f>W30-W88</f>
        <v>-104854.2211318061</v>
      </c>
      <c r="X6" s="51">
        <f>X30-X88</f>
        <v>585614.2437094182</v>
      </c>
      <c r="Y6" s="51">
        <f>Y30-Y88</f>
        <v>-31805.24049733923</v>
      </c>
      <c r="Z6" s="51">
        <f>SUMIF($B$13:$Y$13,"Yes",B6:Y6)</f>
        <v>448605.1307421055</v>
      </c>
      <c r="AA6" s="51">
        <f>AA30-AA88</f>
        <v>453900.9803725107</v>
      </c>
      <c r="AB6" s="51">
        <f>AB30-AB88</f>
        <v>907801.9607450208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5000</v>
      </c>
      <c r="C7" s="80">
        <f>IF(ISERROR(VLOOKUP(MONTH(C5),Inputs!$D$66:$D$71,1,0)),"",INDEX(Inputs!$B$66:$B$71,MATCH(MONTH(Output!C5),Inputs!$D$66:$D$71,0))-INDEX(Inputs!$C$66:$C$71,MATCH(MONTH(Output!C5),Inputs!$D$66:$D$71,0)))</f>
        <v>-20000</v>
      </c>
      <c r="D7" s="80">
        <f>IF(ISERROR(VLOOKUP(MONTH(D5),Inputs!$D$66:$D$71,1,0)),"",INDEX(Inputs!$B$66:$B$71,MATCH(MONTH(Output!D5),Inputs!$D$66:$D$71,0))-INDEX(Inputs!$C$66:$C$71,MATCH(MONTH(Output!D5),Inputs!$D$66:$D$71,0)))</f>
        <v>-10000</v>
      </c>
      <c r="E7" s="80">
        <f>IF(ISERROR(VLOOKUP(MONTH(E5),Inputs!$D$66:$D$71,1,0)),"",INDEX(Inputs!$B$66:$B$71,MATCH(MONTH(Output!E5),Inputs!$D$66:$D$71,0))-INDEX(Inputs!$C$66:$C$71,MATCH(MONTH(Output!E5),Inputs!$D$66:$D$71,0)))</f>
        <v>-15000</v>
      </c>
      <c r="F7" s="80">
        <f>IF(ISERROR(VLOOKUP(MONTH(F5),Inputs!$D$66:$D$71,1,0)),"",INDEX(Inputs!$B$66:$B$71,MATCH(MONTH(Output!F5),Inputs!$D$66:$D$71,0))-INDEX(Inputs!$C$66:$C$71,MATCH(MONTH(Output!F5),Inputs!$D$66:$D$71,0)))</f>
        <v>-15000</v>
      </c>
      <c r="G7" s="80">
        <f>IF(ISERROR(VLOOKUP(MONTH(G5),Inputs!$D$66:$D$71,1,0)),"",INDEX(Inputs!$B$66:$B$71,MATCH(MONTH(Output!G5),Inputs!$D$66:$D$71,0))-INDEX(Inputs!$C$66:$C$71,MATCH(MONTH(Output!G5),Inputs!$D$66:$D$71,0)))</f>
        <v>500000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5000</v>
      </c>
      <c r="O7" s="80">
        <f>IF(ISERROR(VLOOKUP(MONTH(O5),Inputs!$D$66:$D$71,1,0)),"",INDEX(Inputs!$B$66:$B$71,MATCH(MONTH(Output!O5),Inputs!$D$66:$D$71,0))-INDEX(Inputs!$C$66:$C$71,MATCH(MONTH(Output!O5),Inputs!$D$66:$D$71,0)))</f>
        <v>-20000</v>
      </c>
      <c r="P7" s="80">
        <f>IF(ISERROR(VLOOKUP(MONTH(P5),Inputs!$D$66:$D$71,1,0)),"",INDEX(Inputs!$B$66:$B$71,MATCH(MONTH(Output!P5),Inputs!$D$66:$D$71,0))-INDEX(Inputs!$C$66:$C$71,MATCH(MONTH(Output!P5),Inputs!$D$66:$D$71,0)))</f>
        <v>-10000</v>
      </c>
      <c r="Q7" s="80">
        <f>IF(ISERROR(VLOOKUP(MONTH(Q5),Inputs!$D$66:$D$71,1,0)),"",INDEX(Inputs!$B$66:$B$71,MATCH(MONTH(Output!Q5),Inputs!$D$66:$D$71,0))-INDEX(Inputs!$C$66:$C$71,MATCH(MONTH(Output!Q5),Inputs!$D$66:$D$71,0)))</f>
        <v>-15000</v>
      </c>
      <c r="R7" s="80">
        <f>IF(ISERROR(VLOOKUP(MONTH(R5),Inputs!$D$66:$D$71,1,0)),"",INDEX(Inputs!$B$66:$B$71,MATCH(MONTH(Output!R5),Inputs!$D$66:$D$71,0))-INDEX(Inputs!$C$66:$C$71,MATCH(MONTH(Output!R5),Inputs!$D$66:$D$71,0)))</f>
        <v>-15000</v>
      </c>
      <c r="S7" s="80">
        <f>IF(ISERROR(VLOOKUP(MONTH(S5),Inputs!$D$66:$D$71,1,0)),"",INDEX(Inputs!$B$66:$B$71,MATCH(MONTH(Output!S5),Inputs!$D$66:$D$71,0))-INDEX(Inputs!$C$66:$C$71,MATCH(MONTH(Output!S5),Inputs!$D$66:$D$71,0)))</f>
        <v>500000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94704.15036959478</v>
      </c>
      <c r="C11" s="80">
        <f>C6+C9-C10</f>
        <v>-167354.2211318061</v>
      </c>
      <c r="D11" s="80">
        <f>D6+D9-D10</f>
        <v>-96854.22113180615</v>
      </c>
      <c r="E11" s="80">
        <f>E6+E9-E10</f>
        <v>-114854.2211318061</v>
      </c>
      <c r="F11" s="80">
        <f>F6+F9-F10</f>
        <v>575614.2437094182</v>
      </c>
      <c r="G11" s="80">
        <f>G6+G9-G10</f>
        <v>-41805.24049733923</v>
      </c>
      <c r="H11" s="80">
        <f>H6+H9-H10</f>
        <v>-15295.84963040522</v>
      </c>
      <c r="I11" s="80">
        <f>I6+I9-I10</f>
        <v>-112354.2211318061</v>
      </c>
      <c r="J11" s="80">
        <f>J6+J9-J10</f>
        <v>-96854.22113180615</v>
      </c>
      <c r="K11" s="80">
        <f>K6+K9-K10</f>
        <v>-114854.2211318061</v>
      </c>
      <c r="L11" s="80">
        <f>L6+L9-L10</f>
        <v>575614.2437094182</v>
      </c>
      <c r="M11" s="80">
        <f>M6+M9-M10</f>
        <v>-41805.24049733923</v>
      </c>
      <c r="N11" s="80">
        <f>N6+N9-N10</f>
        <v>-15295.84963040522</v>
      </c>
      <c r="O11" s="80">
        <f>O6+O9-O10</f>
        <v>-157354.2211318061</v>
      </c>
      <c r="P11" s="80">
        <f>P6+P9-P10</f>
        <v>-86854.22113180615</v>
      </c>
      <c r="Q11" s="80">
        <f>Q6+Q9-Q10</f>
        <v>-104854.2211318061</v>
      </c>
      <c r="R11" s="80">
        <f>R6+R9-R10</f>
        <v>585614.2437094182</v>
      </c>
      <c r="S11" s="80">
        <f>S6+S9-S10</f>
        <v>-31805.24049733923</v>
      </c>
      <c r="T11" s="80">
        <f>T6+T9-T10</f>
        <v>-5295.849630405221</v>
      </c>
      <c r="U11" s="80">
        <f>U6+U9-U10</f>
        <v>-102354.2211318061</v>
      </c>
      <c r="V11" s="80">
        <f>V6+V9-V10</f>
        <v>-86854.22113180615</v>
      </c>
      <c r="W11" s="80">
        <f>W6+W9-W10</f>
        <v>-104854.2211318061</v>
      </c>
      <c r="X11" s="80">
        <f>X6+X9-X10</f>
        <v>585614.2437094182</v>
      </c>
      <c r="Y11" s="80">
        <f>Y6+Y9-Y10</f>
        <v>-31805.24049733923</v>
      </c>
      <c r="Z11" s="85">
        <f>SUMIF($B$13:$Y$13,"Yes",B11:Y11)</f>
        <v>428605.1307421055</v>
      </c>
      <c r="AA11" s="80">
        <f>SUM(B11:M11)</f>
        <v>443900.9803725107</v>
      </c>
      <c r="AB11" s="46">
        <f>SUM(B11:Y11)</f>
        <v>887801.9607450214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0.1207526279393089</v>
      </c>
      <c r="G12" s="82">
        <f>IF(G13="Yes",IF(SUM($B$10:G10)/(SUM($B$6:G6)+SUM($B$9:G9))&lt;0,999.99,SUM($B$10:G10)/(SUM($B$6:G6)+SUM($B$9:G9))),"")</f>
        <v>0.1669725101097697</v>
      </c>
      <c r="H12" s="82">
        <f>IF(H13="Yes",IF(SUM($B$10:H10)/(SUM($B$6:H6)+SUM($B$9:H9))&lt;0,999.99,SUM($B$10:H10)/(SUM($B$6:H6)+SUM($B$9:H9))),"")</f>
        <v>0.2039743445373523</v>
      </c>
      <c r="I12" s="82">
        <f>IF(I13="Yes",IF(SUM($B$10:I10)/(SUM($B$6:I6)+SUM($B$9:I9))&lt;0,999.99,SUM($B$10:I10)/(SUM($B$6:I6)+SUM($B$9:I9))),"")</f>
        <v>0.3649627055571748</v>
      </c>
      <c r="J12" s="82">
        <f>IF(J13="Yes",IF(SUM($B$10:J10)/(SUM($B$6:J6)+SUM($B$9:J9))&lt;0,999.99,SUM($B$10:J10)/(SUM($B$6:J6)+SUM($B$9:J9))),"")</f>
        <v>0.7622953599255539</v>
      </c>
      <c r="K12" s="82">
        <f>IF(K13="Yes",IF(SUM($B$10:K10)/(SUM($B$6:K6)+SUM($B$9:K9))&lt;0,999.99,SUM($B$10:K10)/(SUM($B$6:K6)+SUM($B$9:K9))),"")</f>
        <v>978.5037891751982</v>
      </c>
      <c r="L12" s="82">
        <f>IF(L13="Yes",IF(SUM($B$10:L10)/(SUM($B$6:L6)+SUM($B$9:L9))&lt;0,999.99,SUM($B$10:L10)/(SUM($B$6:L6)+SUM($B$9:L9))),"")</f>
        <v>0.1707340581964231</v>
      </c>
      <c r="M12" s="82">
        <f>IF(M13="Yes",IF(SUM($B$10:M10)/(SUM($B$6:M6)+SUM($B$9:M9))&lt;0,999.99,SUM($B$10:M10)/(SUM($B$6:M6)+SUM($B$9:M9))),"")</f>
        <v>0.1985914520787137</v>
      </c>
      <c r="N12" s="82">
        <f>IF(N13="Yes",IF(SUM($B$10:N10)/(SUM($B$6:N6)+SUM($B$9:N9))&lt;0,999.99,SUM($B$10:N10)/(SUM($B$6:N6)+SUM($B$9:N9))),"")</f>
        <v>0.2187365616462143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19920.87150140093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18109.88318309175</v>
      </c>
      <c r="H18" s="36">
        <f>T18</f>
        <v>19920.87150140093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18109.88318309175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19920.87150140093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18109.88318309175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19920.87150140093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18109.88318309175</v>
      </c>
      <c r="Z18" s="36">
        <f>SUMIF($B$13:$Y$13,"Yes",B18:Y18)</f>
        <v>95982.38087038629</v>
      </c>
      <c r="AA18" s="36">
        <f>SUM(B18:M18)</f>
        <v>76061.50936898537</v>
      </c>
      <c r="AB18" s="36">
        <f>SUM(B18:Y18)</f>
        <v>152123.0187379707</v>
      </c>
      <c r="AC18" s="43"/>
      <c r="AD18" s="43"/>
    </row>
    <row r="19" spans="1:30">
      <c r="A19" t="str">
        <f>IF(Calculations!A5&lt;&gt;Parameters!$A$18,IF(Calculations!A5=0,"",Calculations!A5),Inputs!B8)</f>
        <v>Tomatoes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672468.4648412244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672468.4648412244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672468.4648412244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672468.4648412244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1344936.929682449</v>
      </c>
      <c r="AA19" s="36">
        <f>SUM(B19:M19)</f>
        <v>1344936.929682449</v>
      </c>
      <c r="AB19" s="36">
        <f>SUM(B19:Y19)</f>
        <v>2689873.859364897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19920.87150140093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672468.4648412244</v>
      </c>
      <c r="G30" s="19">
        <f>SUM(G18:G29)</f>
        <v>18109.88318309175</v>
      </c>
      <c r="H30" s="19">
        <f>SUM(H18:H29)</f>
        <v>19920.87150140093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672468.4648412244</v>
      </c>
      <c r="M30" s="19">
        <f>SUM(M18:M29)</f>
        <v>18109.88318309175</v>
      </c>
      <c r="N30" s="19">
        <f>SUM(N18:N29)</f>
        <v>19920.87150140093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672468.4648412244</v>
      </c>
      <c r="S30" s="19">
        <f>SUM(S18:S29)</f>
        <v>18109.88318309175</v>
      </c>
      <c r="T30" s="19">
        <f>SUM(T18:T29)</f>
        <v>19920.87150140093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672468.4648412244</v>
      </c>
      <c r="Y30" s="19">
        <f>SUM(Y18:Y29)</f>
        <v>18109.88318309175</v>
      </c>
      <c r="Z30" s="19">
        <f>SUMIF($B$13:$Y$13,"Yes",B30:Y30)</f>
        <v>1440919.310552835</v>
      </c>
      <c r="AA30" s="19">
        <f>SUM(B30:M30)</f>
        <v>1420998.439051434</v>
      </c>
      <c r="AB30" s="19">
        <f>SUM(B30:Y30)</f>
        <v>2841996.878102868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Tomatoes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15500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15500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15500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15500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31000</v>
      </c>
      <c r="AA42" s="36">
        <f>SUM(B42:M42)</f>
        <v>31000</v>
      </c>
      <c r="AB42" s="36">
        <f>SUM(B42:Y42)</f>
        <v>62000</v>
      </c>
    </row>
    <row r="43" spans="1:30" hidden="true" outlineLevel="1">
      <c r="A43" s="181" t="str">
        <f>Calculations!$A$4</f>
        <v>Beans</v>
      </c>
      <c r="B43" s="36">
        <f>N43</f>
        <v>0</v>
      </c>
      <c r="C43" s="36">
        <f>O43</f>
        <v>12500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12500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12500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12500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25000</v>
      </c>
      <c r="AA43" s="36">
        <f>SUM(B43:M43)</f>
        <v>25000</v>
      </c>
      <c r="AB43" s="36">
        <f>SUM(B43:Y43)</f>
        <v>50000</v>
      </c>
    </row>
    <row r="44" spans="1:30" hidden="true" outlineLevel="1">
      <c r="A44" s="181" t="str">
        <f>Calculations!$A$5</f>
        <v>Tomatoes</v>
      </c>
      <c r="B44" s="36">
        <f>N44</f>
        <v>0</v>
      </c>
      <c r="C44" s="36">
        <f>O44</f>
        <v>3000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3000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3000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3000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6000</v>
      </c>
      <c r="AA44" s="36">
        <f>SUM(B44:M44)</f>
        <v>6000</v>
      </c>
      <c r="AB44" s="36">
        <f>SUM(B44:Y44)</f>
        <v>12000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18000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18000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18000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18000</v>
      </c>
      <c r="X48" s="46">
        <f>SUM(X49:X53)</f>
        <v>0</v>
      </c>
      <c r="Y48" s="46">
        <f>SUM(Y49:Y53)</f>
        <v>0</v>
      </c>
      <c r="Z48" s="46">
        <f>SUMIF($B$13:$Y$13,"Yes",B48:Y48)</f>
        <v>36000</v>
      </c>
      <c r="AA48" s="46">
        <f>SUM(B48:M48)</f>
        <v>36000</v>
      </c>
      <c r="AB48" s="46">
        <f>SUM(B48:Y48)</f>
        <v>72000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Tomatoes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18000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18000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18000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18000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36000</v>
      </c>
      <c r="AA50" s="46">
        <f>SUM(B50:M50)</f>
        <v>36000</v>
      </c>
      <c r="AB50" s="46">
        <f>SUM(B50:Y50)</f>
        <v>72000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648.4025486248389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648.4025486248389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648.4025486248389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648.4025486248389</v>
      </c>
      <c r="Z54" s="46">
        <f>SUMIF($B$13:$Y$13,"Yes",B54:Y54)</f>
        <v>1296.805097249678</v>
      </c>
      <c r="AA54" s="46">
        <f>SUM(B54:M54)</f>
        <v>1296.805097249678</v>
      </c>
      <c r="AB54" s="46">
        <f>SUM(B54:Y54)</f>
        <v>2593.610194499356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648.4025486248389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648.4025486248389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648.4025486248389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648.4025486248389</v>
      </c>
      <c r="Z55" s="46">
        <f>SUMIF($B$13:$Y$13,"Yes",B55:Y55)</f>
        <v>1296.805097249678</v>
      </c>
      <c r="AA55" s="46">
        <f>SUM(B55:M55)</f>
        <v>1296.805097249678</v>
      </c>
      <c r="AB55" s="46">
        <f>SUM(B55:Y55)</f>
        <v>2593.610194499356</v>
      </c>
    </row>
    <row r="56" spans="1:30" hidden="true" outlineLevel="1">
      <c r="A56" s="181" t="str">
        <f>Calculations!$A$5</f>
        <v>Tomatoes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12000</v>
      </c>
      <c r="D60" s="36">
        <f>P60</f>
        <v>12000</v>
      </c>
      <c r="E60" s="36">
        <f>Q60</f>
        <v>12000</v>
      </c>
      <c r="F60" s="36">
        <f>R60</f>
        <v>12000</v>
      </c>
      <c r="G60" s="36">
        <f>S60</f>
        <v>6000</v>
      </c>
      <c r="H60" s="36">
        <f>T60</f>
        <v>0</v>
      </c>
      <c r="I60" s="36">
        <f>U60</f>
        <v>12000</v>
      </c>
      <c r="J60" s="36">
        <f>V60</f>
        <v>12000</v>
      </c>
      <c r="K60" s="36">
        <f>W60</f>
        <v>12000</v>
      </c>
      <c r="L60" s="36">
        <f>X60</f>
        <v>12000</v>
      </c>
      <c r="M60" s="36">
        <f>Y60</f>
        <v>6000</v>
      </c>
      <c r="N60" s="46">
        <f>SUM(N61:N65)</f>
        <v>0</v>
      </c>
      <c r="O60" s="46">
        <f>SUM(O61:O65)</f>
        <v>12000</v>
      </c>
      <c r="P60" s="46">
        <f>SUM(P61:P65)</f>
        <v>12000</v>
      </c>
      <c r="Q60" s="46">
        <f>SUM(Q61:Q65)</f>
        <v>12000</v>
      </c>
      <c r="R60" s="46">
        <f>SUM(R61:R65)</f>
        <v>12000</v>
      </c>
      <c r="S60" s="46">
        <f>SUM(S61:S65)</f>
        <v>6000</v>
      </c>
      <c r="T60" s="46">
        <f>SUM(T61:T65)</f>
        <v>0</v>
      </c>
      <c r="U60" s="46">
        <f>SUM(U61:U65)</f>
        <v>12000</v>
      </c>
      <c r="V60" s="46">
        <f>SUM(V61:V65)</f>
        <v>12000</v>
      </c>
      <c r="W60" s="46">
        <f>SUM(W61:W65)</f>
        <v>12000</v>
      </c>
      <c r="X60" s="46">
        <f>SUM(X61:X65)</f>
        <v>12000</v>
      </c>
      <c r="Y60" s="46">
        <f>SUM(Y61:Y65)</f>
        <v>6000</v>
      </c>
      <c r="Z60" s="46">
        <f>SUMIF($B$13:$Y$13,"Yes",B60:Y60)</f>
        <v>108000</v>
      </c>
      <c r="AA60" s="46">
        <f>SUM(B60:M60)</f>
        <v>108000</v>
      </c>
      <c r="AB60" s="46">
        <f>SUM(B60:Y60)</f>
        <v>216000</v>
      </c>
    </row>
    <row r="61" spans="1:30" hidden="true" outlineLevel="1">
      <c r="A61" s="181" t="str">
        <f>Calculations!$A$4</f>
        <v>Beans</v>
      </c>
      <c r="B61" s="36">
        <f>N61</f>
        <v>0</v>
      </c>
      <c r="C61" s="36">
        <f>O61</f>
        <v>6000</v>
      </c>
      <c r="D61" s="36">
        <f>P61</f>
        <v>6000</v>
      </c>
      <c r="E61" s="36">
        <f>Q61</f>
        <v>6000</v>
      </c>
      <c r="F61" s="36">
        <f>R61</f>
        <v>6000</v>
      </c>
      <c r="G61" s="36">
        <f>S61</f>
        <v>6000</v>
      </c>
      <c r="H61" s="36">
        <f>T61</f>
        <v>0</v>
      </c>
      <c r="I61" s="36">
        <f>U61</f>
        <v>6000</v>
      </c>
      <c r="J61" s="36">
        <f>V61</f>
        <v>6000</v>
      </c>
      <c r="K61" s="36">
        <f>W61</f>
        <v>6000</v>
      </c>
      <c r="L61" s="36">
        <f>X61</f>
        <v>6000</v>
      </c>
      <c r="M61" s="36">
        <f>Y61</f>
        <v>6000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6000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6000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6000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6000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6000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6000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6000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6000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6000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6000</v>
      </c>
      <c r="Z61" s="46">
        <f>SUMIF($B$13:$Y$13,"Yes",B61:Y61)</f>
        <v>60000</v>
      </c>
      <c r="AA61" s="46">
        <f>SUM(B61:M61)</f>
        <v>60000</v>
      </c>
      <c r="AB61" s="46">
        <f>SUM(B61:Y61)</f>
        <v>120000</v>
      </c>
    </row>
    <row r="62" spans="1:30" hidden="true" outlineLevel="1">
      <c r="A62" s="181" t="str">
        <f>Calculations!$A$5</f>
        <v>Tomatoes</v>
      </c>
      <c r="B62" s="36">
        <f>N62</f>
        <v>0</v>
      </c>
      <c r="C62" s="36">
        <f>O62</f>
        <v>6000</v>
      </c>
      <c r="D62" s="36">
        <f>P62</f>
        <v>6000</v>
      </c>
      <c r="E62" s="36">
        <f>Q62</f>
        <v>6000</v>
      </c>
      <c r="F62" s="36">
        <f>R62</f>
        <v>6000</v>
      </c>
      <c r="G62" s="36">
        <f>S62</f>
        <v>0</v>
      </c>
      <c r="H62" s="36">
        <f>T62</f>
        <v>0</v>
      </c>
      <c r="I62" s="36">
        <f>U62</f>
        <v>6000</v>
      </c>
      <c r="J62" s="36">
        <f>V62</f>
        <v>6000</v>
      </c>
      <c r="K62" s="36">
        <f>W62</f>
        <v>6000</v>
      </c>
      <c r="L62" s="36">
        <f>X62</f>
        <v>6000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6000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6000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6000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6000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6000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6000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6000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6000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48000</v>
      </c>
      <c r="AA62" s="46">
        <f>SUM(B62:M62)</f>
        <v>48000</v>
      </c>
      <c r="AB62" s="46">
        <f>SUM(B62:Y62)</f>
        <v>96000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49637.5</v>
      </c>
      <c r="D66" s="36">
        <f>P66</f>
        <v>49637.5</v>
      </c>
      <c r="E66" s="36">
        <f>Q66</f>
        <v>49637.5</v>
      </c>
      <c r="F66" s="36">
        <f>R66</f>
        <v>49637.5</v>
      </c>
      <c r="G66" s="36">
        <f>S66</f>
        <v>18050</v>
      </c>
      <c r="H66" s="36">
        <f>T66</f>
        <v>0</v>
      </c>
      <c r="I66" s="36">
        <f>U66</f>
        <v>49637.5</v>
      </c>
      <c r="J66" s="36">
        <f>V66</f>
        <v>49637.5</v>
      </c>
      <c r="K66" s="36">
        <f>W66</f>
        <v>49637.5</v>
      </c>
      <c r="L66" s="36">
        <f>X66</f>
        <v>49637.5</v>
      </c>
      <c r="M66" s="36">
        <f>Y66</f>
        <v>18050</v>
      </c>
      <c r="N66" s="46">
        <f>SUM(N67:N71)</f>
        <v>0</v>
      </c>
      <c r="O66" s="46">
        <f>SUM(O67:O71)</f>
        <v>49637.5</v>
      </c>
      <c r="P66" s="46">
        <f>SUM(P67:P71)</f>
        <v>49637.5</v>
      </c>
      <c r="Q66" s="46">
        <f>SUM(Q67:Q71)</f>
        <v>49637.5</v>
      </c>
      <c r="R66" s="46">
        <f>SUM(R67:R71)</f>
        <v>49637.5</v>
      </c>
      <c r="S66" s="46">
        <f>SUM(S67:S71)</f>
        <v>18050</v>
      </c>
      <c r="T66" s="46">
        <f>SUM(T67:T71)</f>
        <v>0</v>
      </c>
      <c r="U66" s="46">
        <f>SUM(U67:U71)</f>
        <v>49637.5</v>
      </c>
      <c r="V66" s="46">
        <f>SUM(V67:V71)</f>
        <v>49637.5</v>
      </c>
      <c r="W66" s="46">
        <f>SUM(W67:W71)</f>
        <v>49637.5</v>
      </c>
      <c r="X66" s="46">
        <f>SUM(X67:X71)</f>
        <v>49637.5</v>
      </c>
      <c r="Y66" s="46">
        <f>SUM(Y67:Y71)</f>
        <v>18050</v>
      </c>
      <c r="Z66" s="46">
        <f>SUMIF($B$13:$Y$13,"Yes",B66:Y66)</f>
        <v>433200</v>
      </c>
      <c r="AA66" s="46">
        <f>SUM(B66:M66)</f>
        <v>433200</v>
      </c>
      <c r="AB66" s="46">
        <f>SUM(B66:Y66)</f>
        <v>866400</v>
      </c>
    </row>
    <row r="67" spans="1:30" hidden="true" outlineLevel="1">
      <c r="A67" s="181" t="str">
        <f>Calculations!$A$4</f>
        <v>Beans</v>
      </c>
      <c r="B67" s="36">
        <f>N67</f>
        <v>0</v>
      </c>
      <c r="C67" s="36">
        <f>O67</f>
        <v>18050</v>
      </c>
      <c r="D67" s="36">
        <f>P67</f>
        <v>18050</v>
      </c>
      <c r="E67" s="36">
        <f>Q67</f>
        <v>18050</v>
      </c>
      <c r="F67" s="36">
        <f>R67</f>
        <v>18050</v>
      </c>
      <c r="G67" s="36">
        <f>S67</f>
        <v>18050</v>
      </c>
      <c r="H67" s="36">
        <f>T67</f>
        <v>0</v>
      </c>
      <c r="I67" s="36">
        <f>U67</f>
        <v>18050</v>
      </c>
      <c r="J67" s="36">
        <f>V67</f>
        <v>18050</v>
      </c>
      <c r="K67" s="36">
        <f>W67</f>
        <v>18050</v>
      </c>
      <c r="L67" s="36">
        <f>X67</f>
        <v>18050</v>
      </c>
      <c r="M67" s="36">
        <f>Y67</f>
        <v>18050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18050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18050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18050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18050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18050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18050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18050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18050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18050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18050</v>
      </c>
      <c r="Z67" s="46">
        <f>SUMIF($B$13:$Y$13,"Yes",B67:Y67)</f>
        <v>180500</v>
      </c>
      <c r="AA67" s="46">
        <f>SUM(B67:M67)</f>
        <v>180500</v>
      </c>
      <c r="AB67" s="46">
        <f>SUM(B67:Y67)</f>
        <v>361000</v>
      </c>
    </row>
    <row r="68" spans="1:30" hidden="true" outlineLevel="1">
      <c r="A68" s="181" t="str">
        <f>Calculations!$A$5</f>
        <v>Tomatoes</v>
      </c>
      <c r="B68" s="36">
        <f>N68</f>
        <v>0</v>
      </c>
      <c r="C68" s="36">
        <f>O68</f>
        <v>31587.5</v>
      </c>
      <c r="D68" s="36">
        <f>P68</f>
        <v>31587.5</v>
      </c>
      <c r="E68" s="36">
        <f>Q68</f>
        <v>31587.5</v>
      </c>
      <c r="F68" s="36">
        <f>R68</f>
        <v>31587.5</v>
      </c>
      <c r="G68" s="36">
        <f>S68</f>
        <v>0</v>
      </c>
      <c r="H68" s="36">
        <f>T68</f>
        <v>0</v>
      </c>
      <c r="I68" s="36">
        <f>U68</f>
        <v>31587.5</v>
      </c>
      <c r="J68" s="36">
        <f>V68</f>
        <v>31587.5</v>
      </c>
      <c r="K68" s="36">
        <f>W68</f>
        <v>31587.5</v>
      </c>
      <c r="L68" s="36">
        <f>X68</f>
        <v>31587.5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31587.5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31587.5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31587.5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31587.5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31587.5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31587.5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31587.5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31587.5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252700</v>
      </c>
      <c r="AA68" s="46">
        <f>SUM(B68:M68)</f>
        <v>252700</v>
      </c>
      <c r="AB68" s="46">
        <f>SUM(B68:Y68)</f>
        <v>505400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55000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55000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55000</v>
      </c>
      <c r="AA72" s="46">
        <f>SUM(B72:M72)</f>
        <v>55000</v>
      </c>
      <c r="AB72" s="46">
        <f>SUM(B72:Y72)</f>
        <v>110000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25216.72113180615</v>
      </c>
      <c r="C81" s="46">
        <f>(SUM($AA$18:$AA$29)-SUM($AA$36,$AA$42,$AA$48,$AA$54,$AA$60,$AA$66,$AA$72:$AA$79))*Parameters!$B$37/12</f>
        <v>25216.72113180615</v>
      </c>
      <c r="D81" s="46">
        <f>(SUM($AA$18:$AA$29)-SUM($AA$36,$AA$42,$AA$48,$AA$54,$AA$60,$AA$66,$AA$72:$AA$79))*Parameters!$B$37/12</f>
        <v>25216.72113180615</v>
      </c>
      <c r="E81" s="46">
        <f>(SUM($AA$18:$AA$29)-SUM($AA$36,$AA$42,$AA$48,$AA$54,$AA$60,$AA$66,$AA$72:$AA$79))*Parameters!$B$37/12</f>
        <v>25216.72113180615</v>
      </c>
      <c r="F81" s="46">
        <f>(SUM($AA$18:$AA$29)-SUM($AA$36,$AA$42,$AA$48,$AA$54,$AA$60,$AA$66,$AA$72:$AA$79))*Parameters!$B$37/12</f>
        <v>25216.72113180615</v>
      </c>
      <c r="G81" s="46">
        <f>(SUM($AA$18:$AA$29)-SUM($AA$36,$AA$42,$AA$48,$AA$54,$AA$60,$AA$66,$AA$72:$AA$79))*Parameters!$B$37/12</f>
        <v>25216.72113180615</v>
      </c>
      <c r="H81" s="46">
        <f>(SUM($AA$18:$AA$29)-SUM($AA$36,$AA$42,$AA$48,$AA$54,$AA$60,$AA$66,$AA$72:$AA$79))*Parameters!$B$37/12</f>
        <v>25216.72113180615</v>
      </c>
      <c r="I81" s="46">
        <f>(SUM($AA$18:$AA$29)-SUM($AA$36,$AA$42,$AA$48,$AA$54,$AA$60,$AA$66,$AA$72:$AA$79))*Parameters!$B$37/12</f>
        <v>25216.72113180615</v>
      </c>
      <c r="J81" s="46">
        <f>(SUM($AA$18:$AA$29)-SUM($AA$36,$AA$42,$AA$48,$AA$54,$AA$60,$AA$66,$AA$72:$AA$79))*Parameters!$B$37/12</f>
        <v>25216.72113180615</v>
      </c>
      <c r="K81" s="46">
        <f>(SUM($AA$18:$AA$29)-SUM($AA$36,$AA$42,$AA$48,$AA$54,$AA$60,$AA$66,$AA$72:$AA$79))*Parameters!$B$37/12</f>
        <v>25216.72113180615</v>
      </c>
      <c r="L81" s="46">
        <f>(SUM($AA$18:$AA$29)-SUM($AA$36,$AA$42,$AA$48,$AA$54,$AA$60,$AA$66,$AA$72:$AA$79))*Parameters!$B$37/12</f>
        <v>25216.72113180615</v>
      </c>
      <c r="M81" s="46">
        <f>(SUM($AA$18:$AA$29)-SUM($AA$36,$AA$42,$AA$48,$AA$54,$AA$60,$AA$66,$AA$72:$AA$79))*Parameters!$B$37/12</f>
        <v>25216.72113180615</v>
      </c>
      <c r="N81" s="46">
        <f>(SUM($AA$18:$AA$29)-SUM($AA$36,$AA$42,$AA$48,$AA$54,$AA$60,$AA$66,$AA$72:$AA$79))*Parameters!$B$37/12</f>
        <v>25216.72113180615</v>
      </c>
      <c r="O81" s="46">
        <f>(SUM($AA$18:$AA$29)-SUM($AA$36,$AA$42,$AA$48,$AA$54,$AA$60,$AA$66,$AA$72:$AA$79))*Parameters!$B$37/12</f>
        <v>25216.72113180615</v>
      </c>
      <c r="P81" s="46">
        <f>(SUM($AA$18:$AA$29)-SUM($AA$36,$AA$42,$AA$48,$AA$54,$AA$60,$AA$66,$AA$72:$AA$79))*Parameters!$B$37/12</f>
        <v>25216.72113180615</v>
      </c>
      <c r="Q81" s="46">
        <f>(SUM($AA$18:$AA$29)-SUM($AA$36,$AA$42,$AA$48,$AA$54,$AA$60,$AA$66,$AA$72:$AA$79))*Parameters!$B$37/12</f>
        <v>25216.72113180615</v>
      </c>
      <c r="R81" s="46">
        <f>(SUM($AA$18:$AA$29)-SUM($AA$36,$AA$42,$AA$48,$AA$54,$AA$60,$AA$66,$AA$72:$AA$79))*Parameters!$B$37/12</f>
        <v>25216.72113180615</v>
      </c>
      <c r="S81" s="46">
        <f>(SUM($AA$18:$AA$29)-SUM($AA$36,$AA$42,$AA$48,$AA$54,$AA$60,$AA$66,$AA$72:$AA$79))*Parameters!$B$37/12</f>
        <v>25216.72113180615</v>
      </c>
      <c r="T81" s="46">
        <f>(SUM($AA$18:$AA$29)-SUM($AA$36,$AA$42,$AA$48,$AA$54,$AA$60,$AA$66,$AA$72:$AA$79))*Parameters!$B$37/12</f>
        <v>25216.72113180615</v>
      </c>
      <c r="U81" s="46">
        <f>(SUM($AA$18:$AA$29)-SUM($AA$36,$AA$42,$AA$48,$AA$54,$AA$60,$AA$66,$AA$72:$AA$79))*Parameters!$B$37/12</f>
        <v>25216.72113180615</v>
      </c>
      <c r="V81" s="46">
        <f>(SUM($AA$18:$AA$29)-SUM($AA$36,$AA$42,$AA$48,$AA$54,$AA$60,$AA$66,$AA$72:$AA$79))*Parameters!$B$37/12</f>
        <v>25216.72113180615</v>
      </c>
      <c r="W81" s="46">
        <f>(SUM($AA$18:$AA$29)-SUM($AA$36,$AA$42,$AA$48,$AA$54,$AA$60,$AA$66,$AA$72:$AA$79))*Parameters!$B$37/12</f>
        <v>25216.72113180615</v>
      </c>
      <c r="X81" s="46">
        <f>(SUM($AA$18:$AA$29)-SUM($AA$36,$AA$42,$AA$48,$AA$54,$AA$60,$AA$66,$AA$72:$AA$79))*Parameters!$B$37/12</f>
        <v>25216.72113180615</v>
      </c>
      <c r="Y81" s="46">
        <f>(SUM($AA$18:$AA$29)-SUM($AA$36,$AA$42,$AA$48,$AA$54,$AA$60,$AA$66,$AA$72:$AA$79))*Parameters!$B$37/12</f>
        <v>25216.72113180615</v>
      </c>
      <c r="Z81" s="46">
        <f>SUMIF($B$13:$Y$13,"Yes",B81:Y81)</f>
        <v>327817.3747134799</v>
      </c>
      <c r="AA81" s="46">
        <f>SUM(B81:M81)</f>
        <v>302600.6535816738</v>
      </c>
      <c r="AB81" s="46">
        <f>SUM(B81:Y81)</f>
        <v>605201.3071633476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25216.72113180615</v>
      </c>
      <c r="C88" s="19">
        <f>SUM(C72:C82,C66,C60,C54,C48,C42,C36)</f>
        <v>157354.2211318061</v>
      </c>
      <c r="D88" s="19">
        <f>SUM(D72:D82,D66,D60,D54,D48,D42,D36)</f>
        <v>86854.22113180615</v>
      </c>
      <c r="E88" s="19">
        <f>SUM(E72:E82,E66,E60,E54,E48,E42,E36)</f>
        <v>104854.2211318061</v>
      </c>
      <c r="F88" s="19">
        <f>SUM(F72:F82,F66,F60,F54,F48,F42,F36)</f>
        <v>86854.22113180615</v>
      </c>
      <c r="G88" s="19">
        <f>SUM(G72:G82,G66,G60,G54,G48,G42,G36)</f>
        <v>49915.12368043098</v>
      </c>
      <c r="H88" s="19">
        <f>SUM(H72:H82,H66,H60,H54,H48,H42,H36)</f>
        <v>25216.72113180615</v>
      </c>
      <c r="I88" s="19">
        <f>SUM(I72:I82,I66,I60,I54,I48,I42,I36)</f>
        <v>102354.2211318061</v>
      </c>
      <c r="J88" s="19">
        <f>SUM(J72:J82,J66,J60,J54,J48,J42,J36)</f>
        <v>86854.22113180615</v>
      </c>
      <c r="K88" s="19">
        <f>SUM(K72:K82,K66,K60,K54,K48,K42,K36)</f>
        <v>104854.2211318061</v>
      </c>
      <c r="L88" s="19">
        <f>SUM(L72:L82,L66,L60,L54,L48,L42,L36)</f>
        <v>86854.22113180615</v>
      </c>
      <c r="M88" s="19">
        <f>SUM(M72:M82,M66,M60,M54,M48,M42,M36)</f>
        <v>49915.12368043098</v>
      </c>
      <c r="N88" s="19">
        <f>SUM(N72:N82,N66,N60,N54,N48,N42,N36)</f>
        <v>25216.72113180615</v>
      </c>
      <c r="O88" s="19">
        <f>SUM(O72:O82,O66,O60,O54,O48,O42,O36)</f>
        <v>157354.2211318061</v>
      </c>
      <c r="P88" s="19">
        <f>SUM(P72:P82,P66,P60,P54,P48,P42,P36)</f>
        <v>86854.22113180615</v>
      </c>
      <c r="Q88" s="19">
        <f>SUM(Q72:Q82,Q66,Q60,Q54,Q48,Q42,Q36)</f>
        <v>104854.2211318061</v>
      </c>
      <c r="R88" s="19">
        <f>SUM(R72:R82,R66,R60,R54,R48,R42,R36)</f>
        <v>86854.22113180615</v>
      </c>
      <c r="S88" s="19">
        <f>SUM(S72:S82,S66,S60,S54,S48,S42,S36)</f>
        <v>49915.12368043098</v>
      </c>
      <c r="T88" s="19">
        <f>SUM(T72:T82,T66,T60,T54,T48,T42,T36)</f>
        <v>25216.72113180615</v>
      </c>
      <c r="U88" s="19">
        <f>SUM(U72:U82,U66,U60,U54,U48,U42,U36)</f>
        <v>102354.2211318061</v>
      </c>
      <c r="V88" s="19">
        <f>SUM(V72:V82,V66,V60,V54,V48,V42,V36)</f>
        <v>86854.22113180615</v>
      </c>
      <c r="W88" s="19">
        <f>SUM(W72:W82,W66,W60,W54,W48,W42,W36)</f>
        <v>104854.2211318061</v>
      </c>
      <c r="X88" s="19">
        <f>SUM(X72:X82,X66,X60,X54,X48,X42,X36)</f>
        <v>86854.22113180615</v>
      </c>
      <c r="Y88" s="19">
        <f>SUM(Y72:Y82,Y66,Y60,Y54,Y48,Y42,Y36)</f>
        <v>49915.12368043098</v>
      </c>
      <c r="Z88" s="19">
        <f>SUMIF($B$13:$Y$13,"Yes",B88:Y88)</f>
        <v>992314.1798107296</v>
      </c>
      <c r="AA88" s="19">
        <f>SUM(B88:M88)</f>
        <v>967097.4586789234</v>
      </c>
      <c r="AB88" s="19">
        <f>SUM(B88:Y88)</f>
        <v>1934194.917357848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250000</v>
      </c>
    </row>
    <row r="101" spans="1:30" customHeight="1" ht="15.75">
      <c r="A101" s="1" t="s">
        <v>67</v>
      </c>
      <c r="B101" s="19">
        <f>SUM(B94:B100)</f>
        <v>612000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8500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108500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4</v>
      </c>
      <c r="D8" s="16"/>
      <c r="E8" s="147" t="s">
        <v>90</v>
      </c>
      <c r="F8" s="149" t="s">
        <v>91</v>
      </c>
      <c r="G8" s="147"/>
      <c r="H8" s="147" t="s">
        <v>96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5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>
        <v>55000</v>
      </c>
    </row>
    <row r="42" spans="1:48">
      <c r="A42" s="55" t="s">
        <v>125</v>
      </c>
      <c r="B42" s="139" t="s">
        <v>94</v>
      </c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/>
    </row>
    <row r="46" spans="1:48" customHeight="1" ht="30">
      <c r="A46" s="57" t="s">
        <v>130</v>
      </c>
      <c r="B46" s="161">
        <v>300000</v>
      </c>
    </row>
    <row r="47" spans="1:48" customHeight="1" ht="30">
      <c r="A47" s="57" t="s">
        <v>131</v>
      </c>
      <c r="B47" s="161">
        <v>50000</v>
      </c>
    </row>
    <row r="48" spans="1:48" customHeight="1" ht="30">
      <c r="A48" s="57" t="s">
        <v>132</v>
      </c>
      <c r="B48" s="161">
        <v>250000</v>
      </c>
    </row>
    <row r="49" spans="1:48" customHeight="1" ht="30">
      <c r="A49" s="57" t="s">
        <v>133</v>
      </c>
      <c r="B49" s="161">
        <v>12000</v>
      </c>
    </row>
    <row r="50" spans="1:48">
      <c r="A50" s="43"/>
      <c r="B50" s="36"/>
    </row>
    <row r="51" spans="1:48">
      <c r="A51" s="58" t="s">
        <v>134</v>
      </c>
      <c r="B51" s="161">
        <v>8500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50000</v>
      </c>
      <c r="B56" s="159">
        <v>0</v>
      </c>
      <c r="C56" s="162" t="s">
        <v>142</v>
      </c>
      <c r="D56" s="163" t="s">
        <v>143</v>
      </c>
      <c r="E56" s="163" t="s">
        <v>96</v>
      </c>
      <c r="F56" s="163" t="s">
        <v>144</v>
      </c>
    </row>
    <row r="57" spans="1:48">
      <c r="A57" s="157">
        <v>3000</v>
      </c>
      <c r="B57" s="157">
        <v>0</v>
      </c>
      <c r="C57" s="164" t="s">
        <v>145</v>
      </c>
      <c r="D57" s="165" t="s">
        <v>146</v>
      </c>
      <c r="E57" s="165" t="s">
        <v>96</v>
      </c>
      <c r="F57" s="165" t="s">
        <v>144</v>
      </c>
    </row>
    <row r="58" spans="1:48">
      <c r="A58" s="157">
        <v>100000</v>
      </c>
      <c r="B58" s="157">
        <v>0</v>
      </c>
      <c r="C58" s="164" t="s">
        <v>147</v>
      </c>
      <c r="D58" s="165" t="s">
        <v>143</v>
      </c>
      <c r="E58" s="165" t="s">
        <v>96</v>
      </c>
      <c r="F58" s="165" t="s">
        <v>144</v>
      </c>
    </row>
    <row r="59" spans="1:48">
      <c r="A59" s="157">
        <v>1500</v>
      </c>
      <c r="B59" s="157">
        <v>0</v>
      </c>
      <c r="C59" s="164" t="s">
        <v>148</v>
      </c>
      <c r="D59" s="165" t="s">
        <v>146</v>
      </c>
      <c r="E59" s="165" t="s">
        <v>96</v>
      </c>
      <c r="F59" s="165" t="s">
        <v>144</v>
      </c>
    </row>
    <row r="60" spans="1:48">
      <c r="A60" s="158">
        <v>200000</v>
      </c>
      <c r="B60" s="158">
        <v>0</v>
      </c>
      <c r="C60" s="166" t="s">
        <v>149</v>
      </c>
      <c r="D60" s="167" t="s">
        <v>150</v>
      </c>
      <c r="E60" s="167" t="s">
        <v>96</v>
      </c>
      <c r="F60" s="167" t="s">
        <v>144</v>
      </c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152</v>
      </c>
      <c r="C65" s="10" t="s">
        <v>153</v>
      </c>
    </row>
    <row r="66" spans="1:48">
      <c r="A66" s="142" t="s">
        <v>154</v>
      </c>
      <c r="B66" s="159">
        <v>100000</v>
      </c>
      <c r="C66" s="163">
        <v>95000</v>
      </c>
      <c r="D66" s="49">
        <f>INDEX(Parameters!$D$79:$D$90,MATCH(Inputs!A66,Parameters!$C$79:$C$90,0))</f>
        <v>12</v>
      </c>
    </row>
    <row r="67" spans="1:48">
      <c r="A67" s="143" t="s">
        <v>94</v>
      </c>
      <c r="B67" s="157">
        <v>30000</v>
      </c>
      <c r="C67" s="165">
        <v>50000</v>
      </c>
      <c r="D67" s="49">
        <f>INDEX(Parameters!$D$79:$D$90,MATCH(Inputs!A67,Parameters!$C$79:$C$90,0))</f>
        <v>1</v>
      </c>
    </row>
    <row r="68" spans="1:48">
      <c r="A68" s="143" t="s">
        <v>155</v>
      </c>
      <c r="B68" s="157">
        <v>25000</v>
      </c>
      <c r="C68" s="165">
        <v>35000</v>
      </c>
      <c r="D68" s="49">
        <f>INDEX(Parameters!$D$79:$D$90,MATCH(Inputs!A68,Parameters!$C$79:$C$90,0))</f>
        <v>2</v>
      </c>
    </row>
    <row r="69" spans="1:48">
      <c r="A69" s="143" t="s">
        <v>156</v>
      </c>
      <c r="B69" s="157">
        <v>20000</v>
      </c>
      <c r="C69" s="165">
        <v>35000</v>
      </c>
      <c r="D69" s="49">
        <f>INDEX(Parameters!$D$79:$D$90,MATCH(Inputs!A69,Parameters!$C$79:$C$90,0))</f>
        <v>3</v>
      </c>
    </row>
    <row r="70" spans="1:48">
      <c r="A70" s="143" t="s">
        <v>157</v>
      </c>
      <c r="B70" s="157">
        <v>40000</v>
      </c>
      <c r="C70" s="165">
        <v>55000</v>
      </c>
      <c r="D70" s="49">
        <f>INDEX(Parameters!$D$79:$D$90,MATCH(Inputs!A70,Parameters!$C$79:$C$90,0))</f>
        <v>4</v>
      </c>
    </row>
    <row r="71" spans="1:48">
      <c r="A71" s="144" t="s">
        <v>158</v>
      </c>
      <c r="B71" s="158">
        <v>700000</v>
      </c>
      <c r="C71" s="167">
        <v>200000</v>
      </c>
      <c r="D71" s="49">
        <f>INDEX(Parameters!$D$79:$D$90,MATCH(Inputs!A71,Parameters!$C$79:$C$90,0))</f>
        <v>5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15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8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1">
        <v>100000</v>
      </c>
    </row>
    <row r="82" spans="1:48">
      <c r="A82" t="s">
        <v>168</v>
      </c>
      <c r="B82" s="161">
        <v>20</v>
      </c>
    </row>
    <row r="83" spans="1:48">
      <c r="A83" t="s">
        <v>169</v>
      </c>
      <c r="B83" s="169" t="s">
        <v>170</v>
      </c>
    </row>
    <row r="84" spans="1:48">
      <c r="A84" t="s">
        <v>171</v>
      </c>
      <c r="B84" s="169">
        <v>1</v>
      </c>
    </row>
    <row r="85" spans="1:48">
      <c r="A85" t="s">
        <v>172</v>
      </c>
      <c r="B85" s="169">
        <v>12</v>
      </c>
    </row>
    <row r="86" spans="1:48">
      <c r="A86" t="s">
        <v>173</v>
      </c>
      <c r="B86" s="161"/>
    </row>
    <row r="87" spans="1:48">
      <c r="A87" t="s">
        <v>174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8" t="s">
        <v>87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43</v>
      </c>
      <c r="AA3" s="32" t="s">
        <v>198</v>
      </c>
      <c r="AB3" s="32" t="s">
        <v>199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43160</v>
      </c>
      <c r="D4" s="38">
        <f>IFERROR(DATE(YEAR(B4),MONTH(B4)+T4,DAY(B4)),"")</f>
        <v>43221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43344</v>
      </c>
      <c r="G4" s="38">
        <f>IFERROR(IF($S4=0,"",IF($S4=2,DATE(YEAR(D4),MONTH(D4)+6,DAY(D4)),IF($S4=1,D4,""))),"")</f>
        <v>43405</v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311.2332233399227</v>
      </c>
      <c r="M4" s="25">
        <f>L4*H4</f>
        <v>1556.166116699613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72439.53273236701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12500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30000</v>
      </c>
      <c r="AA4" s="33">
        <f>IFERROR(IF(Inputs!N7&gt;0,INDEX(Parameters!$A$3:$AI$17,MATCH(Calculations!A4,Parameters!$A$3:$A$17,0),MATCH(Parameters!$R$3,Parameters!$A$3:$AI$3,0)),0)*M4/S4,0)</f>
        <v>648.4025486248389</v>
      </c>
      <c r="AB4" s="33">
        <f>H4*IFERROR(INDEX(Parameters!$A$3:$AI$17,MATCH(Calculations!A4,Parameters!$A$3:$A$17,0),MATCH(Parameters!$O$3,Parameters!$A$3:$AI$3,0)),AVERAGE(Parameters!$O$4:$O$17))*(1-Inputs!$B$25/100)</f>
        <v>95000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Tomatoes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43160</v>
      </c>
      <c r="D5" s="39">
        <f>IFERROR(DATE(YEAR(B5),MONTH(B5)+T5,DAY(B5)),"")</f>
        <v>43191</v>
      </c>
      <c r="E5" s="39">
        <f>IFERROR(IF($S5=0,"",IF($S5=2,DATE(YEAR(B5),MONTH(B5)+6,DAY(B5)),IF($S5=1,B5,""))),"")</f>
        <v>43282</v>
      </c>
      <c r="F5" s="39">
        <f>IFERROR(IF($S5=0,"",IF($S5=2,DATE(YEAR(C5),MONTH(C5)+6,DAY(C5)),IF($S5=1,C5,""))),"")</f>
        <v>43344</v>
      </c>
      <c r="G5" s="39">
        <f>IFERROR(IF($S5=0,"",IF($S5=2,DATE(YEAR(D5),MONTH(D5)+6,DAY(D5)),IF($S5=1,D5,""))),"")</f>
        <v>43374</v>
      </c>
      <c r="H5" s="16">
        <f>Inputs!C8</f>
        <v>4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5056.15387098665</v>
      </c>
      <c r="M5" s="30">
        <f>L5*H5</f>
        <v>20224.6154839466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35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1344936.929682449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3000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18000</v>
      </c>
      <c r="Z5" s="34">
        <f>IF(Inputs!I8=Parameters!$F$78,H5*INDEX(Parameters!$A$3:$AI$18,MATCH(Calculations!A5,Parameters!$A$3:$A$18,0),MATCH(Parameters!$Q$3,Parameters!$A$3:$AI$3,0)),0)</f>
        <v>24000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133000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8" t="s">
        <v>210</v>
      </c>
      <c r="N13" s="178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217</v>
      </c>
      <c r="C22" s="74" t="s">
        <v>218</v>
      </c>
      <c r="D22" s="74" t="s">
        <v>219</v>
      </c>
      <c r="E22" s="74" t="s">
        <v>220</v>
      </c>
    </row>
    <row r="23" spans="1:52">
      <c r="A23" s="75">
        <f>Inputs!A56</f>
        <v>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3000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1500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200000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222</v>
      </c>
      <c r="B32" s="129" t="s">
        <v>223</v>
      </c>
      <c r="C32" s="129" t="s">
        <v>224</v>
      </c>
      <c r="D32" s="129" t="s">
        <v>225</v>
      </c>
      <c r="F32" s="132" t="s">
        <v>226</v>
      </c>
      <c r="G32" s="132" t="s">
        <v>227</v>
      </c>
      <c r="I32" s="174" t="s">
        <v>228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43121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43101</v>
      </c>
      <c r="F33" t="s">
        <v>164</v>
      </c>
      <c r="G33" s="128">
        <f>IF(Inputs!B79="","",DATE(YEAR(Inputs!B79),MONTH(Inputs!B79),DAY(Inputs!B79)))</f>
        <v>43090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43152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43132</v>
      </c>
      <c r="F34" t="s">
        <v>165</v>
      </c>
      <c r="G34" s="128">
        <f>IF(Inputs!B80="","",DATE(YEAR(Inputs!B80),MONTH(Inputs!B80),DAY(Inputs!B80)))</f>
        <v>43121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43180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43160</v>
      </c>
      <c r="F35" t="s">
        <v>167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43211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43191</v>
      </c>
      <c r="F36" t="s">
        <v>168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43241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43221</v>
      </c>
      <c r="F37" t="s">
        <v>229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43272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43252</v>
      </c>
      <c r="F38" t="s">
        <v>230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43302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43282</v>
      </c>
      <c r="F39" t="s">
        <v>173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43333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43313</v>
      </c>
      <c r="F40" t="s">
        <v>174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43364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43344</v>
      </c>
      <c r="F41" t="s">
        <v>231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43394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43374</v>
      </c>
      <c r="F42" t="s">
        <v>232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43425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43455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3" customFormat="1">
      <c r="A4" s="93" t="s">
        <v>265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205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267</v>
      </c>
      <c r="D24" s="115" t="s">
        <v>267</v>
      </c>
      <c r="E24" s="106">
        <v>0.05</v>
      </c>
      <c r="F24" s="106">
        <v>0.1</v>
      </c>
      <c r="G24" s="106">
        <v>0.2</v>
      </c>
      <c r="H24" s="116" t="s">
        <v>267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301</v>
      </c>
      <c r="B25" s="16" t="s">
        <v>302</v>
      </c>
      <c r="C25" s="30" t="s">
        <v>303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267</v>
      </c>
      <c r="J25" s="72" t="s">
        <v>267</v>
      </c>
      <c r="K25" s="72" t="s">
        <v>267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304</v>
      </c>
      <c r="B26" s="16" t="s">
        <v>300</v>
      </c>
      <c r="C26" s="116" t="s">
        <v>267</v>
      </c>
      <c r="D26" s="115" t="s">
        <v>267</v>
      </c>
      <c r="E26" s="106">
        <v>0.2</v>
      </c>
      <c r="F26" s="106">
        <v>0.7</v>
      </c>
      <c r="G26" s="106">
        <v>2</v>
      </c>
      <c r="H26" s="116" t="s">
        <v>267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305</v>
      </c>
      <c r="B27" s="71" t="s">
        <v>300</v>
      </c>
      <c r="C27" s="116" t="s">
        <v>267</v>
      </c>
      <c r="D27" s="115" t="s">
        <v>267</v>
      </c>
      <c r="E27" s="106">
        <v>0.15</v>
      </c>
      <c r="F27" s="106">
        <v>0.25</v>
      </c>
      <c r="G27" s="106">
        <v>1</v>
      </c>
      <c r="H27" s="116" t="s">
        <v>267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306</v>
      </c>
      <c r="B28" s="71" t="s">
        <v>300</v>
      </c>
      <c r="C28" s="116" t="s">
        <v>267</v>
      </c>
      <c r="D28" s="115" t="s">
        <v>267</v>
      </c>
      <c r="E28" s="106">
        <v>0.15</v>
      </c>
      <c r="F28" s="106">
        <v>0.25</v>
      </c>
      <c r="G28" s="106">
        <v>1</v>
      </c>
      <c r="H28" s="116" t="s">
        <v>267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300</v>
      </c>
      <c r="C29" s="31" t="s">
        <v>267</v>
      </c>
      <c r="D29" s="31" t="s">
        <v>267</v>
      </c>
      <c r="E29" s="24">
        <v>0.1</v>
      </c>
      <c r="F29" s="24">
        <v>0.2</v>
      </c>
      <c r="G29" s="24">
        <v>0</v>
      </c>
      <c r="H29" s="31" t="s">
        <v>267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98</v>
      </c>
      <c r="B41" s="191" t="s">
        <v>92</v>
      </c>
      <c r="C41" s="191" t="s">
        <v>96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301</v>
      </c>
      <c r="B44" s="72">
        <v>50000</v>
      </c>
      <c r="C44" s="72">
        <v>200000</v>
      </c>
    </row>
    <row r="45" spans="1:36">
      <c r="A45" t="s">
        <v>304</v>
      </c>
      <c r="B45" s="72">
        <v>25000</v>
      </c>
      <c r="C45" s="72">
        <v>50000</v>
      </c>
    </row>
    <row r="46" spans="1:36">
      <c r="A46" t="s">
        <v>305</v>
      </c>
      <c r="B46" s="72">
        <v>6000</v>
      </c>
      <c r="C46" s="72">
        <v>12000</v>
      </c>
    </row>
    <row r="47" spans="1:36">
      <c r="A47" t="s">
        <v>306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274</v>
      </c>
      <c r="E52" s="12" t="s">
        <v>274</v>
      </c>
      <c r="F52" s="12" t="s">
        <v>274</v>
      </c>
      <c r="G52" s="12" t="s">
        <v>318</v>
      </c>
      <c r="H52" s="12" t="s">
        <v>127</v>
      </c>
      <c r="I52" s="12" t="s">
        <v>319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233</v>
      </c>
      <c r="E53" s="10" t="s">
        <v>192</v>
      </c>
      <c r="F53" s="10" t="s">
        <v>252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170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229</v>
      </c>
      <c r="J76" s="11" t="s">
        <v>352</v>
      </c>
      <c r="K76" s="11" t="s">
        <v>182</v>
      </c>
      <c r="AJ76" s="12"/>
    </row>
    <row r="77" spans="1:36">
      <c r="A77" t="s">
        <v>96</v>
      </c>
      <c r="B77" s="176">
        <v>0</v>
      </c>
      <c r="C77" s="12" t="s">
        <v>353</v>
      </c>
      <c r="E77" s="12" t="s">
        <v>92</v>
      </c>
      <c r="F77" s="12" t="s">
        <v>92</v>
      </c>
      <c r="G77" s="12" t="s">
        <v>354</v>
      </c>
      <c r="H77" s="12" t="s">
        <v>127</v>
      </c>
      <c r="I77" s="12" t="s">
        <v>355</v>
      </c>
      <c r="J77" s="136" t="s">
        <v>356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357</v>
      </c>
      <c r="D78" s="133"/>
      <c r="E78" s="12" t="s">
        <v>358</v>
      </c>
      <c r="F78" s="12" t="s">
        <v>93</v>
      </c>
      <c r="G78" s="12" t="s">
        <v>359</v>
      </c>
      <c r="H78" s="12" t="s">
        <v>319</v>
      </c>
      <c r="I78" s="12" t="s">
        <v>360</v>
      </c>
      <c r="J78" s="70" t="s">
        <v>361</v>
      </c>
      <c r="K78" s="12" t="s">
        <v>92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362</v>
      </c>
      <c r="F79" s="12" t="s">
        <v>363</v>
      </c>
      <c r="G79" s="12" t="s">
        <v>364</v>
      </c>
      <c r="I79" s="12" t="s">
        <v>170</v>
      </c>
      <c r="J79" s="70" t="s">
        <v>365</v>
      </c>
      <c r="K79" s="12" t="s">
        <v>92</v>
      </c>
      <c r="AJ79" s="12"/>
    </row>
    <row r="80" spans="1:36">
      <c r="B80" s="176">
        <v>20</v>
      </c>
      <c r="C80" s="12" t="s">
        <v>155</v>
      </c>
      <c r="D80" s="12">
        <f>D79+1</f>
        <v>2</v>
      </c>
      <c r="E80" s="12" t="s">
        <v>366</v>
      </c>
      <c r="F80" s="12" t="s">
        <v>367</v>
      </c>
      <c r="J80" s="70" t="s">
        <v>90</v>
      </c>
      <c r="K80" s="12" t="s">
        <v>96</v>
      </c>
      <c r="AJ80" s="12"/>
    </row>
    <row r="81" spans="1:36">
      <c r="B81" s="176">
        <v>30</v>
      </c>
      <c r="C81" s="12" t="s">
        <v>156</v>
      </c>
      <c r="D81" s="12">
        <f>D80+1</f>
        <v>3</v>
      </c>
      <c r="J81" s="70" t="s">
        <v>368</v>
      </c>
      <c r="K81" s="12" t="s">
        <v>96</v>
      </c>
    </row>
    <row r="82" spans="1:36">
      <c r="B82" s="176">
        <v>40</v>
      </c>
      <c r="C82" s="12" t="s">
        <v>157</v>
      </c>
      <c r="D82" s="12">
        <f>D81+1</f>
        <v>4</v>
      </c>
      <c r="J82" s="70"/>
    </row>
    <row r="83" spans="1:36">
      <c r="B83" s="176">
        <v>50</v>
      </c>
      <c r="C83" s="12" t="s">
        <v>158</v>
      </c>
      <c r="D83" s="12">
        <f>D82+1</f>
        <v>5</v>
      </c>
    </row>
    <row r="84" spans="1:36">
      <c r="B84" s="176">
        <v>60</v>
      </c>
      <c r="C84" s="12" t="s">
        <v>369</v>
      </c>
      <c r="D84" s="12">
        <f>D83+1</f>
        <v>6</v>
      </c>
    </row>
    <row r="85" spans="1:36">
      <c r="B85" s="176">
        <v>70</v>
      </c>
      <c r="C85" s="12" t="s">
        <v>370</v>
      </c>
      <c r="D85" s="12">
        <f>D84+1</f>
        <v>7</v>
      </c>
    </row>
    <row r="86" spans="1:36">
      <c r="B86" s="176">
        <v>80</v>
      </c>
      <c r="C86" s="12" t="s">
        <v>371</v>
      </c>
      <c r="D86" s="12">
        <f>D85+1</f>
        <v>8</v>
      </c>
    </row>
    <row r="87" spans="1:36">
      <c r="B87" s="176">
        <v>89.99999999999999</v>
      </c>
      <c r="C87" s="12" t="s">
        <v>372</v>
      </c>
      <c r="D87" s="12">
        <f>D86+1</f>
        <v>9</v>
      </c>
    </row>
    <row r="88" spans="1:36">
      <c r="B88" s="176">
        <v>99.99999999999999</v>
      </c>
      <c r="C88" s="12" t="s">
        <v>373</v>
      </c>
      <c r="D88" s="12">
        <f>D87+1</f>
        <v>10</v>
      </c>
    </row>
    <row r="89" spans="1:36">
      <c r="C89" s="12" t="s">
        <v>374</v>
      </c>
      <c r="D89" s="12">
        <f>D88+1</f>
        <v>11</v>
      </c>
    </row>
    <row r="90" spans="1:36">
      <c r="C90" s="12" t="s">
        <v>154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