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<sst xmlns="http://schemas.openxmlformats.org/spreadsheetml/2006/main" uniqueCount="370">
  <si>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</si>
  <si>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</si>
  <si>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</si>
  <si>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</si>
  <si>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</si>
  <si>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</si>
  <si>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</si>
  <si>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</si>
  <si>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</si>
  <si>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</si>
  <si>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</si>
  <si>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</si>
  <si>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</si>
  <si>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</si>
  <si>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</si>
  <si>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</si>
  <si>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</si>
  <si>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</si>
  <si>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</si>
  <si>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</si>
  <si>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</si>
  <si>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</si>
  <si>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</si>
  <si>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</si>
  <si>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</si>
  <si>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</si>
  <si>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</si>
  <si>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</si>
  <si>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</si>
  <si>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</si>
  <si>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</si>
  <si>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</si>
  <si>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</si>
  <si>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</si>
  <si>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</si>
  <si>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</si>
  <si>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</si>
  <si>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</si>
  <si>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</si>
  <si>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</si>
  <si>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</si>
  <si>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</si>
  <si>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</si>
  <si>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</si>
  <si>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</si>
  <si>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</si>
  <si>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</si>
  <si>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</si>
  <si>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</si>
  <si>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</si>
  <si>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</si>
  <si>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</si>
  <si>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</si>
  <si>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</si>
  <si>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</si>
  <si>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</si>
  <si>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</si>
  <si>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</si>
  <si>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</si>
  <si>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</si>
  <si>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</si>
  <si>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</si>
  <si>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</si>
  <si>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</si>
  <si>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</si>
  <si>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</si>
  <si>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</si>
  <si>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</si>
  <si>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</si>
  <si>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</si>
  <si>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</si>
  <si>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</si>
  <si>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</si>
  <si>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</si>
  <si>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</si>
  <si>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</si>
  <si>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</si>
  <si>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</si>
  <si>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</si>
  <si>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</si>
  <si>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</si>
  <si>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</si>
  <si>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</si>
  <si>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</si>
  <si>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</si>
  <si>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</si>
  <si>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</si>
  <si>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</si>
  <si>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</si>
  <si>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</si>
  <si>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</si>
  <si>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</si>
  <si>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</si>
  <si>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</si>
  <si>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</si>
  <si>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</si>
  <si>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</si>
  <si>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</si>
  <si>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</si>
  <si>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</si>
  <si>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</si>
  <si>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</si>
  <si>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</si>
  <si>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</si>
  <si>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</si>
  <si>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</si>
  <si>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</si>
  <si>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</si>
  <si>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</si>
  <si>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Never</t>
  </si>
  <si>
    <t>Cows_beef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</si>
  <si>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</si>
  <si>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</si>
  <si>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</si>
  <si>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</si>
  <si>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</si>
  <si>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</si>
  <si>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</si>
  <si>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</si>
  <si>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</si>
  <si>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</si>
  <si>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</si>
  <si>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</si>
  <si>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</si>
  <si>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</si>
  <si>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</si>
  <si>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</si>
  <si>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</si>
  <si>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</si>
  <si>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</si>
  <si>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</si>
  <si>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</si>
  <si>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</si>
  <si>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</si>
  <si>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</si>
  <si>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</si>
  <si>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</si>
  <si>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</si>
  <si>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</si>
  <si>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</si>
  <si>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</si>
  <si>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</si>
  <si>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</si>
  <si>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2/10/2017</t>
  </si>
  <si>
    <t>Equity</t>
  </si>
  <si>
    <t>No arrears</t>
  </si>
  <si>
    <t>12/19/2017</t>
  </si>
  <si>
    <t>9/30/2016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</si>
  <si>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</si>
  <si>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</si>
  <si>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</si>
  <si>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</si>
  <si>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</si>
  <si>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</si>
  <si>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</si>
  <si>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</si>
  <si>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</si>
  <si>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</si>
  <si>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</si>
  <si>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</si>
  <si>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2017/12/21</t>
  </si>
  <si>
    <t>Loan terms</t>
  </si>
  <si>
    <t>Expected disbursement date</t>
  </si>
  <si>
    <t>Expected first repayment date</t>
  </si>
  <si>
    <t>2018/1/21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</si>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</sst>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Cows_beef, Cows_dairy,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0.3796552139234904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0.02992220227408737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36666.66666666667</v>
      </c>
    </row>
    <row r="17" spans="1:7">
      <c r="B17" s="1" t="s">
        <v>11</v>
      </c>
      <c r="C17" s="36">
        <f>SUM(Output!B6:M6)</f>
        <v>728288.1963435521</v>
      </c>
    </row>
    <row r="18" spans="1:7">
      <c r="B18" s="1" t="s">
        <v>12</v>
      </c>
      <c r="C18" s="36">
        <f>MIN(Output!B6:M6)</f>
        <v>-43770.95535241955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301400.8749338738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53333.33333333334</v>
      </c>
    </row>
    <row r="25" spans="1:7">
      <c r="B25" s="1" t="s">
        <v>18</v>
      </c>
      <c r="C25" s="36">
        <f>MAX(Inputs!A56:A60)</f>
        <v>60000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15329.04464758045</v>
      </c>
      <c r="C6" s="51">
        <f>C30-C88</f>
        <v>28229.04464758044</v>
      </c>
      <c r="D6" s="51">
        <f>D30-D88</f>
        <v>301400.8749338738</v>
      </c>
      <c r="E6" s="51">
        <f>E30-E88</f>
        <v>34727.04464758044</v>
      </c>
      <c r="F6" s="51">
        <f>F30-F88</f>
        <v>-43770.95535241955</v>
      </c>
      <c r="G6" s="51">
        <f>G30-G88</f>
        <v>28229.04464758044</v>
      </c>
      <c r="H6" s="51">
        <f>H30-H88</f>
        <v>15329.04464758045</v>
      </c>
      <c r="I6" s="51">
        <f>I30-I88</f>
        <v>28229.04464758044</v>
      </c>
      <c r="J6" s="51">
        <f>J30-J88</f>
        <v>301400.8749338738</v>
      </c>
      <c r="K6" s="51">
        <f>K30-K88</f>
        <v>34727.04464758044</v>
      </c>
      <c r="L6" s="51">
        <f>L30-L88</f>
        <v>-43770.95535241955</v>
      </c>
      <c r="M6" s="51">
        <f>M30-M88</f>
        <v>28229.04464758044</v>
      </c>
      <c r="N6" s="51">
        <f>N30-N88</f>
        <v>15329.04464758045</v>
      </c>
      <c r="O6" s="51">
        <f>O30-O88</f>
        <v>28229.04464758044</v>
      </c>
      <c r="P6" s="51">
        <f>P30-P88</f>
        <v>301400.8749338738</v>
      </c>
      <c r="Q6" s="51">
        <f>Q30-Q88</f>
        <v>34727.04464758044</v>
      </c>
      <c r="R6" s="51">
        <f>R30-R88</f>
        <v>-43770.95535241955</v>
      </c>
      <c r="S6" s="51">
        <f>S30-S88</f>
        <v>28229.04464758044</v>
      </c>
      <c r="T6" s="51">
        <f>T30-T88</f>
        <v>15329.04464758045</v>
      </c>
      <c r="U6" s="51">
        <f>U30-U88</f>
        <v>28229.04464758044</v>
      </c>
      <c r="V6" s="51">
        <f>V30-V88</f>
        <v>301400.8749338738</v>
      </c>
      <c r="W6" s="51">
        <f>W30-W88</f>
        <v>34727.04464758044</v>
      </c>
      <c r="X6" s="51">
        <f>X30-X88</f>
        <v>-43770.95535241955</v>
      </c>
      <c r="Y6" s="51">
        <f>Y30-Y88</f>
        <v>28229.04464758044</v>
      </c>
      <c r="Z6" s="51">
        <f>SUMIF($B$13:$Y$13,"Yes",B6:Y6)</f>
        <v>379473.1428193564</v>
      </c>
      <c r="AA6" s="51">
        <f>AA30-AA88</f>
        <v>728288.1963435523</v>
      </c>
      <c r="AB6" s="51">
        <f>AB30-AB88</f>
        <v>1456576.392687105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-49401</v>
      </c>
      <c r="I7" s="80">
        <f>IF(ISERROR(VLOOKUP(MONTH(I5),Inputs!$D$66:$D$71,1,0)),"",INDEX(Inputs!$B$66:$B$71,MATCH(MONTH(Output!I5),Inputs!$D$66:$D$71,0))-INDEX(Inputs!$C$66:$C$71,MATCH(MONTH(Output!I5),Inputs!$D$66:$D$71,0)))</f>
        <v>-29044</v>
      </c>
      <c r="J7" s="80">
        <f>IF(ISERROR(VLOOKUP(MONTH(J5),Inputs!$D$66:$D$71,1,0)),"",INDEX(Inputs!$B$66:$B$71,MATCH(MONTH(Output!J5),Inputs!$D$66:$D$71,0))-INDEX(Inputs!$C$66:$C$71,MATCH(MONTH(Output!J5),Inputs!$D$66:$D$71,0)))</f>
        <v>10431</v>
      </c>
      <c r="K7" s="80">
        <f>IF(ISERROR(VLOOKUP(MONTH(K5),Inputs!$D$66:$D$71,1,0)),"",INDEX(Inputs!$B$66:$B$71,MATCH(MONTH(Output!K5),Inputs!$D$66:$D$71,0))-INDEX(Inputs!$C$66:$C$71,MATCH(MONTH(Output!K5),Inputs!$D$66:$D$71,0)))</f>
        <v>-17838</v>
      </c>
      <c r="L7" s="80">
        <f>IF(ISERROR(VLOOKUP(MONTH(L5),Inputs!$D$66:$D$71,1,0)),"",INDEX(Inputs!$B$66:$B$71,MATCH(MONTH(Output!L5),Inputs!$D$66:$D$71,0))-INDEX(Inputs!$C$66:$C$71,MATCH(MONTH(Output!L5),Inputs!$D$66:$D$71,0)))</f>
        <v>91629</v>
      </c>
      <c r="M7" s="80">
        <f>IF(ISERROR(VLOOKUP(MONTH(M5),Inputs!$D$66:$D$71,1,0)),"",INDEX(Inputs!$B$66:$B$71,MATCH(MONTH(Output!M5),Inputs!$D$66:$D$71,0))-INDEX(Inputs!$C$66:$C$71,MATCH(MONTH(Output!M5),Inputs!$D$66:$D$71,0)))</f>
        <v>61926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-49401</v>
      </c>
      <c r="U7" s="80">
        <f>IF(ISERROR(VLOOKUP(MONTH(U5),Inputs!$D$66:$D$71,1,0)),"",INDEX(Inputs!$B$66:$B$71,MATCH(MONTH(Output!U5),Inputs!$D$66:$D$71,0))-INDEX(Inputs!$C$66:$C$71,MATCH(MONTH(Output!U5),Inputs!$D$66:$D$71,0)))</f>
        <v>-29044</v>
      </c>
      <c r="V7" s="80">
        <f>IF(ISERROR(VLOOKUP(MONTH(V5),Inputs!$D$66:$D$71,1,0)),"",INDEX(Inputs!$B$66:$B$71,MATCH(MONTH(Output!V5),Inputs!$D$66:$D$71,0))-INDEX(Inputs!$C$66:$C$71,MATCH(MONTH(Output!V5),Inputs!$D$66:$D$71,0)))</f>
        <v>10431</v>
      </c>
      <c r="W7" s="80">
        <f>IF(ISERROR(VLOOKUP(MONTH(W5),Inputs!$D$66:$D$71,1,0)),"",INDEX(Inputs!$B$66:$B$71,MATCH(MONTH(Output!W5),Inputs!$D$66:$D$71,0))-INDEX(Inputs!$C$66:$C$71,MATCH(MONTH(Output!W5),Inputs!$D$66:$D$71,0)))</f>
        <v>-17838</v>
      </c>
      <c r="X7" s="80">
        <f>IF(ISERROR(VLOOKUP(MONTH(X5),Inputs!$D$66:$D$71,1,0)),"",INDEX(Inputs!$B$66:$B$71,MATCH(MONTH(Output!X5),Inputs!$D$66:$D$71,0))-INDEX(Inputs!$C$66:$C$71,MATCH(MONTH(Output!X5),Inputs!$D$66:$D$71,0)))</f>
        <v>91629</v>
      </c>
      <c r="Y7" s="80">
        <f>IF(ISERROR(VLOOKUP(MONTH(Y5),Inputs!$D$66:$D$71,1,0)),"",INDEX(Inputs!$B$66:$B$71,MATCH(MONTH(Output!Y5),Inputs!$D$66:$D$71,0))-INDEX(Inputs!$C$66:$C$71,MATCH(MONTH(Output!Y5),Inputs!$D$66:$D$71,0)))</f>
        <v>61926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36666.66666666667</v>
      </c>
      <c r="D10" s="37">
        <f>SUMPRODUCT((Calculations!$D$33:$D$84=Output!D5)+0,Calculations!$C$33:$C$84)</f>
        <v>36666.66666666667</v>
      </c>
      <c r="E10" s="37">
        <f>SUMPRODUCT((Calculations!$D$33:$D$84=Output!E5)+0,Calculations!$C$33:$C$84)</f>
        <v>36666.66666666667</v>
      </c>
      <c r="F10" s="37">
        <f>SUMPRODUCT((Calculations!$D$33:$D$84=Output!F5)+0,Calculations!$C$33:$C$84)</f>
        <v>36666.66666666667</v>
      </c>
      <c r="G10" s="37">
        <f>SUMPRODUCT((Calculations!$D$33:$D$84=Output!G5)+0,Calculations!$C$33:$C$84)</f>
        <v>36666.66666666667</v>
      </c>
      <c r="H10" s="37">
        <f>SUMPRODUCT((Calculations!$D$33:$D$84=Output!H5)+0,Calculations!$C$33:$C$84)</f>
        <v>36666.66666666667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220000.0000000001</v>
      </c>
      <c r="AA10" s="37">
        <f>SUM(B10:M10)</f>
        <v>220000.0000000001</v>
      </c>
      <c r="AB10" s="37">
        <f>SUM(B10:Y10)</f>
        <v>220000.0000000001</v>
      </c>
    </row>
    <row r="11" spans="1:30" customHeight="1" ht="15.75">
      <c r="A11" s="43" t="s">
        <v>31</v>
      </c>
      <c r="B11" s="80">
        <f>B6+B9-B10</f>
        <v>215329.0446475804</v>
      </c>
      <c r="C11" s="80">
        <f>C6+C9-C10</f>
        <v>-8437.62201908623</v>
      </c>
      <c r="D11" s="80">
        <f>D6+D9-D10</f>
        <v>264734.2082672071</v>
      </c>
      <c r="E11" s="80">
        <f>E6+E9-E10</f>
        <v>-1939.62201908623</v>
      </c>
      <c r="F11" s="80">
        <f>F6+F9-F10</f>
        <v>-80437.62201908622</v>
      </c>
      <c r="G11" s="80">
        <f>G6+G9-G10</f>
        <v>-8437.62201908623</v>
      </c>
      <c r="H11" s="80">
        <f>H6+H9-H10</f>
        <v>-21337.62201908622</v>
      </c>
      <c r="I11" s="80">
        <f>I6+I9-I10</f>
        <v>28229.04464758044</v>
      </c>
      <c r="J11" s="80">
        <f>J6+J9-J10</f>
        <v>301400.8749338738</v>
      </c>
      <c r="K11" s="80">
        <f>K6+K9-K10</f>
        <v>34727.04464758044</v>
      </c>
      <c r="L11" s="80">
        <f>L6+L9-L10</f>
        <v>-43770.95535241955</v>
      </c>
      <c r="M11" s="80">
        <f>M6+M9-M10</f>
        <v>28229.04464758044</v>
      </c>
      <c r="N11" s="80">
        <f>N6+N9-N10</f>
        <v>15329.04464758045</v>
      </c>
      <c r="O11" s="80">
        <f>O6+O9-O10</f>
        <v>28229.04464758044</v>
      </c>
      <c r="P11" s="80">
        <f>P6+P9-P10</f>
        <v>301400.8749338738</v>
      </c>
      <c r="Q11" s="80">
        <f>Q6+Q9-Q10</f>
        <v>34727.04464758044</v>
      </c>
      <c r="R11" s="80">
        <f>R6+R9-R10</f>
        <v>-43770.95535241955</v>
      </c>
      <c r="S11" s="80">
        <f>S6+S9-S10</f>
        <v>28229.04464758044</v>
      </c>
      <c r="T11" s="80">
        <f>T6+T9-T10</f>
        <v>15329.04464758045</v>
      </c>
      <c r="U11" s="80">
        <f>U6+U9-U10</f>
        <v>28229.04464758044</v>
      </c>
      <c r="V11" s="80">
        <f>V6+V9-V10</f>
        <v>301400.8749338738</v>
      </c>
      <c r="W11" s="80">
        <f>W6+W9-W10</f>
        <v>34727.04464758044</v>
      </c>
      <c r="X11" s="80">
        <f>X6+X9-X10</f>
        <v>-43770.95535241955</v>
      </c>
      <c r="Y11" s="80">
        <f>Y6+Y9-Y10</f>
        <v>28229.04464758044</v>
      </c>
      <c r="Z11" s="85">
        <f>SUMIF($B$13:$Y$13,"Yes",B11:Y11)</f>
        <v>359473.1428193565</v>
      </c>
      <c r="AA11" s="80">
        <f>SUM(B11:M11)</f>
        <v>708288.1963435522</v>
      </c>
      <c r="AB11" s="46">
        <f>SUM(B11:Y11)</f>
        <v>1436576.392687105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0.150545879107433</v>
      </c>
      <c r="D12" s="82">
        <f>IF(D13="Yes",IF(SUM($B$10:D10)/(SUM($B$6:D6)+SUM($B$9:D9))&lt;0,999.99,SUM($B$10:D10)/(SUM($B$6:D6)+SUM($B$9:D9))),"")</f>
        <v>0.134566707122764</v>
      </c>
      <c r="E12" s="82">
        <f>IF(E13="Yes",IF(SUM($B$10:E10)/(SUM($B$6:E6)+SUM($B$9:E9))&lt;0,999.99,SUM($B$10:E10)/(SUM($B$6:E6)+SUM($B$9:E9))),"")</f>
        <v>0.1897579005109527</v>
      </c>
      <c r="F12" s="82">
        <f>IF(F13="Yes",IF(SUM($B$10:F10)/(SUM($B$6:F6)+SUM($B$9:F9))&lt;0,999.99,SUM($B$10:F10)/(SUM($B$6:F6)+SUM($B$9:F9))),"")</f>
        <v>0.2736752134544117</v>
      </c>
      <c r="G12" s="82">
        <f>IF(G13="Yes",IF(SUM($B$10:G10)/(SUM($B$6:G6)+SUM($B$9:G9))&lt;0,999.99,SUM($B$10:G10)/(SUM($B$6:G6)+SUM($B$9:G9))),"")</f>
        <v>0.3249760724741471</v>
      </c>
      <c r="H12" s="82">
        <f>IF(H13="Yes",IF(SUM($B$10:H10)/(SUM($B$6:H6)+SUM($B$9:H9))&lt;0,999.99,SUM($B$10:H10)/(SUM($B$6:H6)+SUM($B$9:H9))),"")</f>
        <v>0.3796552139234904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273171.8302862934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273171.8302862934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273171.8302862934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273171.8302862934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273171.8302862934</v>
      </c>
      <c r="AA18" s="36">
        <f>SUM(B18:M18)</f>
        <v>546343.6605725868</v>
      </c>
      <c r="AB18" s="36">
        <f>SUM(B18:Y18)</f>
        <v>1092687.321145174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207000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18750</v>
      </c>
      <c r="C24" s="36">
        <f>IFERROR(Calculations!$P14/12,"")</f>
        <v>18750</v>
      </c>
      <c r="D24" s="36">
        <f>IFERROR(Calculations!$P14/12,"")</f>
        <v>18750</v>
      </c>
      <c r="E24" s="36">
        <f>IFERROR(Calculations!$P14/12,"")</f>
        <v>18750</v>
      </c>
      <c r="F24" s="36">
        <f>IFERROR(Calculations!$P14/12,"")</f>
        <v>18750</v>
      </c>
      <c r="G24" s="36">
        <f>IFERROR(Calculations!$P14/12,"")</f>
        <v>18750</v>
      </c>
      <c r="H24" s="36">
        <f>IFERROR(Calculations!$P14/12,"")</f>
        <v>18750</v>
      </c>
      <c r="I24" s="36">
        <f>IFERROR(Calculations!$P14/12,"")</f>
        <v>18750</v>
      </c>
      <c r="J24" s="36">
        <f>IFERROR(Calculations!$P14/12,"")</f>
        <v>18750</v>
      </c>
      <c r="K24" s="36">
        <f>IFERROR(Calculations!$P14/12,"")</f>
        <v>18750</v>
      </c>
      <c r="L24" s="36">
        <f>IFERROR(Calculations!$P14/12,"")</f>
        <v>18750</v>
      </c>
      <c r="M24" s="36">
        <f>IFERROR(Calculations!$P14/12,"")</f>
        <v>18750</v>
      </c>
      <c r="N24" s="36">
        <f>IFERROR(Calculations!$P14/12,"")</f>
        <v>18750</v>
      </c>
      <c r="O24" s="36">
        <f>IFERROR(Calculations!$P14/12,"")</f>
        <v>18750</v>
      </c>
      <c r="P24" s="36">
        <f>IFERROR(Calculations!$P14/12,"")</f>
        <v>18750</v>
      </c>
      <c r="Q24" s="36">
        <f>IFERROR(Calculations!$P14/12,"")</f>
        <v>18750</v>
      </c>
      <c r="R24" s="36">
        <f>IFERROR(Calculations!$P14/12,"")</f>
        <v>18750</v>
      </c>
      <c r="S24" s="36">
        <f>IFERROR(Calculations!$P14/12,"")</f>
        <v>18750</v>
      </c>
      <c r="T24" s="36">
        <f>IFERROR(Calculations!$P14/12,"")</f>
        <v>18750</v>
      </c>
      <c r="U24" s="36">
        <f>IFERROR(Calculations!$P14/12,"")</f>
        <v>18750</v>
      </c>
      <c r="V24" s="36">
        <f>IFERROR(Calculations!$P14/12,"")</f>
        <v>18750</v>
      </c>
      <c r="W24" s="36">
        <f>IFERROR(Calculations!$P14/12,"")</f>
        <v>18750</v>
      </c>
      <c r="X24" s="36">
        <f>IFERROR(Calculations!$P14/12,"")</f>
        <v>18750</v>
      </c>
      <c r="Y24" s="36">
        <f>IFERROR(Calculations!$P14/12,"")</f>
        <v>18750</v>
      </c>
      <c r="Z24" s="36">
        <f>SUMIF($B$13:$Y$13,"Yes",B24:Y24)</f>
        <v>131250</v>
      </c>
      <c r="AA24" s="36">
        <f>SUM(B24:M24)</f>
        <v>225000</v>
      </c>
      <c r="AB24" s="46">
        <f>SUM(B24:Y24)</f>
        <v>450000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28750</v>
      </c>
      <c r="C25" s="36">
        <f>IFERROR(Calculations!$P15/12,"")</f>
        <v>28750</v>
      </c>
      <c r="D25" s="36">
        <f>IFERROR(Calculations!$P15/12,"")</f>
        <v>28750</v>
      </c>
      <c r="E25" s="36">
        <f>IFERROR(Calculations!$P15/12,"")</f>
        <v>28750</v>
      </c>
      <c r="F25" s="36">
        <f>IFERROR(Calculations!$P15/12,"")</f>
        <v>28750</v>
      </c>
      <c r="G25" s="36">
        <f>IFERROR(Calculations!$P15/12,"")</f>
        <v>28750</v>
      </c>
      <c r="H25" s="36">
        <f>IFERROR(Calculations!$P15/12,"")</f>
        <v>28750</v>
      </c>
      <c r="I25" s="36">
        <f>IFERROR(Calculations!$P15/12,"")</f>
        <v>28750</v>
      </c>
      <c r="J25" s="36">
        <f>IFERROR(Calculations!$P15/12,"")</f>
        <v>28750</v>
      </c>
      <c r="K25" s="36">
        <f>IFERROR(Calculations!$P15/12,"")</f>
        <v>28750</v>
      </c>
      <c r="L25" s="36">
        <f>IFERROR(Calculations!$P15/12,"")</f>
        <v>28750</v>
      </c>
      <c r="M25" s="36">
        <f>IFERROR(Calculations!$P15/12,"")</f>
        <v>28750</v>
      </c>
      <c r="N25" s="36">
        <f>IFERROR(Calculations!$P15/12,"")</f>
        <v>28750</v>
      </c>
      <c r="O25" s="36">
        <f>IFERROR(Calculations!$P15/12,"")</f>
        <v>28750</v>
      </c>
      <c r="P25" s="36">
        <f>IFERROR(Calculations!$P15/12,"")</f>
        <v>28750</v>
      </c>
      <c r="Q25" s="36">
        <f>IFERROR(Calculations!$P15/12,"")</f>
        <v>28750</v>
      </c>
      <c r="R25" s="36">
        <f>IFERROR(Calculations!$P15/12,"")</f>
        <v>28750</v>
      </c>
      <c r="S25" s="36">
        <f>IFERROR(Calculations!$P15/12,"")</f>
        <v>28750</v>
      </c>
      <c r="T25" s="36">
        <f>IFERROR(Calculations!$P15/12,"")</f>
        <v>28750</v>
      </c>
      <c r="U25" s="36">
        <f>IFERROR(Calculations!$P15/12,"")</f>
        <v>28750</v>
      </c>
      <c r="V25" s="36">
        <f>IFERROR(Calculations!$P15/12,"")</f>
        <v>28750</v>
      </c>
      <c r="W25" s="36">
        <f>IFERROR(Calculations!$P15/12,"")</f>
        <v>28750</v>
      </c>
      <c r="X25" s="36">
        <f>IFERROR(Calculations!$P15/12,"")</f>
        <v>28750</v>
      </c>
      <c r="Y25" s="36">
        <f>IFERROR(Calculations!$P15/12,"")</f>
        <v>28750</v>
      </c>
      <c r="Z25" s="36">
        <f>SUMIF($B$13:$Y$13,"Yes",B25:Y25)</f>
        <v>201250</v>
      </c>
      <c r="AA25" s="36">
        <f>SUM(B25:M25)</f>
        <v>345000</v>
      </c>
      <c r="AB25" s="46">
        <f>SUM(B25:Y25)</f>
        <v>690000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41062.50000000001</v>
      </c>
      <c r="C26" s="36">
        <f>IFERROR(Calculations!$P16/12,"")</f>
        <v>41062.50000000001</v>
      </c>
      <c r="D26" s="36">
        <f>IFERROR(Calculations!$P16/12,"")</f>
        <v>41062.50000000001</v>
      </c>
      <c r="E26" s="36">
        <f>IFERROR(Calculations!$P16/12,"")</f>
        <v>41062.50000000001</v>
      </c>
      <c r="F26" s="36">
        <f>IFERROR(Calculations!$P16/12,"")</f>
        <v>41062.50000000001</v>
      </c>
      <c r="G26" s="36">
        <f>IFERROR(Calculations!$P16/12,"")</f>
        <v>41062.50000000001</v>
      </c>
      <c r="H26" s="36">
        <f>IFERROR(Calculations!$P16/12,"")</f>
        <v>41062.50000000001</v>
      </c>
      <c r="I26" s="36">
        <f>IFERROR(Calculations!$P16/12,"")</f>
        <v>41062.50000000001</v>
      </c>
      <c r="J26" s="36">
        <f>IFERROR(Calculations!$P16/12,"")</f>
        <v>41062.50000000001</v>
      </c>
      <c r="K26" s="36">
        <f>IFERROR(Calculations!$P16/12,"")</f>
        <v>41062.50000000001</v>
      </c>
      <c r="L26" s="36">
        <f>IFERROR(Calculations!$P16/12,"")</f>
        <v>41062.50000000001</v>
      </c>
      <c r="M26" s="36">
        <f>IFERROR(Calculations!$P16/12,"")</f>
        <v>41062.50000000001</v>
      </c>
      <c r="N26" s="36">
        <f>IFERROR(Calculations!$P16/12,"")</f>
        <v>41062.50000000001</v>
      </c>
      <c r="O26" s="36">
        <f>IFERROR(Calculations!$P16/12,"")</f>
        <v>41062.50000000001</v>
      </c>
      <c r="P26" s="36">
        <f>IFERROR(Calculations!$P16/12,"")</f>
        <v>41062.50000000001</v>
      </c>
      <c r="Q26" s="36">
        <f>IFERROR(Calculations!$P16/12,"")</f>
        <v>41062.50000000001</v>
      </c>
      <c r="R26" s="36">
        <f>IFERROR(Calculations!$P16/12,"")</f>
        <v>41062.50000000001</v>
      </c>
      <c r="S26" s="36">
        <f>IFERROR(Calculations!$P16/12,"")</f>
        <v>41062.50000000001</v>
      </c>
      <c r="T26" s="36">
        <f>IFERROR(Calculations!$P16/12,"")</f>
        <v>41062.50000000001</v>
      </c>
      <c r="U26" s="36">
        <f>IFERROR(Calculations!$P16/12,"")</f>
        <v>41062.50000000001</v>
      </c>
      <c r="V26" s="36">
        <f>IFERROR(Calculations!$P16/12,"")</f>
        <v>41062.50000000001</v>
      </c>
      <c r="W26" s="36">
        <f>IFERROR(Calculations!$P16/12,"")</f>
        <v>41062.50000000001</v>
      </c>
      <c r="X26" s="36">
        <f>IFERROR(Calculations!$P16/12,"")</f>
        <v>41062.50000000001</v>
      </c>
      <c r="Y26" s="36">
        <f>IFERROR(Calculations!$P16/12,"")</f>
        <v>41062.50000000001</v>
      </c>
      <c r="Z26" s="36">
        <f>SUMIF($B$13:$Y$13,"Yes",B26:Y26)</f>
        <v>287437.5000000001</v>
      </c>
      <c r="AA26" s="36">
        <f>SUM(B26:M26)</f>
        <v>492750.0000000001</v>
      </c>
      <c r="AB26" s="46">
        <f>SUM(B26:Y26)</f>
        <v>985500.0000000001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88562.5</v>
      </c>
      <c r="C30" s="19">
        <f>SUM(C18:C29)</f>
        <v>88562.5</v>
      </c>
      <c r="D30" s="19">
        <f>SUM(D18:D29)</f>
        <v>361734.3302862934</v>
      </c>
      <c r="E30" s="19">
        <f>SUM(E18:E29)</f>
        <v>88562.5</v>
      </c>
      <c r="F30" s="19">
        <f>SUM(F18:F29)</f>
        <v>88562.5</v>
      </c>
      <c r="G30" s="19">
        <f>SUM(G18:G29)</f>
        <v>88562.5</v>
      </c>
      <c r="H30" s="19">
        <f>SUM(H18:H29)</f>
        <v>88562.5</v>
      </c>
      <c r="I30" s="19">
        <f>SUM(I18:I29)</f>
        <v>88562.5</v>
      </c>
      <c r="J30" s="19">
        <f>SUM(J18:J29)</f>
        <v>361734.3302862934</v>
      </c>
      <c r="K30" s="19">
        <f>SUM(K18:K29)</f>
        <v>88562.5</v>
      </c>
      <c r="L30" s="19">
        <f>SUM(L18:L29)</f>
        <v>88562.5</v>
      </c>
      <c r="M30" s="19">
        <f>SUM(M18:M29)</f>
        <v>88562.5</v>
      </c>
      <c r="N30" s="19">
        <f>SUM(N18:N29)</f>
        <v>88562.5</v>
      </c>
      <c r="O30" s="19">
        <f>SUM(O18:O29)</f>
        <v>88562.5</v>
      </c>
      <c r="P30" s="19">
        <f>SUM(P18:P29)</f>
        <v>361734.3302862934</v>
      </c>
      <c r="Q30" s="19">
        <f>SUM(Q18:Q29)</f>
        <v>88562.5</v>
      </c>
      <c r="R30" s="19">
        <f>SUM(R18:R29)</f>
        <v>88562.5</v>
      </c>
      <c r="S30" s="19">
        <f>SUM(S18:S29)</f>
        <v>88562.5</v>
      </c>
      <c r="T30" s="19">
        <f>SUM(T18:T29)</f>
        <v>88562.5</v>
      </c>
      <c r="U30" s="19">
        <f>SUM(U18:U29)</f>
        <v>88562.5</v>
      </c>
      <c r="V30" s="19">
        <f>SUM(V18:V29)</f>
        <v>361734.3302862934</v>
      </c>
      <c r="W30" s="19">
        <f>SUM(W18:W29)</f>
        <v>88562.5</v>
      </c>
      <c r="X30" s="19">
        <f>SUM(X18:X29)</f>
        <v>88562.5</v>
      </c>
      <c r="Y30" s="19">
        <f>SUM(Y18:Y29)</f>
        <v>88562.5</v>
      </c>
      <c r="Z30" s="19">
        <f>SUMIF($B$13:$Y$13,"Yes",B30:Y30)</f>
        <v>893109.3302862934</v>
      </c>
      <c r="AA30" s="19">
        <f>SUM(B30:M30)</f>
        <v>1609093.660572587</v>
      </c>
      <c r="AB30" s="19">
        <f>SUM(B30:Y30)</f>
        <v>3218187.321145174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72000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72000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72000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72000</v>
      </c>
      <c r="Y42" s="36">
        <f>SUM(Y43:Y47)</f>
        <v>0</v>
      </c>
      <c r="Z42" s="36">
        <f>SUMIF($B$13:$Y$13,"Yes",B42:Y42)</f>
        <v>72000</v>
      </c>
      <c r="AA42" s="36">
        <f>SUM(B42:M42)</f>
        <v>144000</v>
      </c>
      <c r="AB42" s="36">
        <f>SUM(B42:Y42)</f>
        <v>288000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72000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72000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72000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72000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72000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12900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12900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12900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12900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25800</v>
      </c>
      <c r="AA48" s="46">
        <f>SUM(B48:M48)</f>
        <v>25800</v>
      </c>
      <c r="AB48" s="46">
        <f>SUM(B48:Y48)</f>
        <v>51600</v>
      </c>
    </row>
    <row r="49" spans="1:30" hidden="true" outlineLevel="1">
      <c r="A49" s="181" t="str">
        <f>Calculations!$A$4</f>
        <v>Potatoes</v>
      </c>
      <c r="B49" s="36">
        <f>N49</f>
        <v>12900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12900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12900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12900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25800</v>
      </c>
      <c r="AA49" s="46">
        <f>SUM(B49:M49)</f>
        <v>25800</v>
      </c>
      <c r="AB49" s="46">
        <f>SUM(B49:Y49)</f>
        <v>51600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6498</v>
      </c>
      <c r="C66" s="36">
        <f>O66</f>
        <v>6498</v>
      </c>
      <c r="D66" s="36">
        <f>P66</f>
        <v>6498</v>
      </c>
      <c r="E66" s="36">
        <f>Q66</f>
        <v>0</v>
      </c>
      <c r="F66" s="36">
        <f>R66</f>
        <v>6498</v>
      </c>
      <c r="G66" s="36">
        <f>S66</f>
        <v>6498</v>
      </c>
      <c r="H66" s="36">
        <f>T66</f>
        <v>6498</v>
      </c>
      <c r="I66" s="36">
        <f>U66</f>
        <v>6498</v>
      </c>
      <c r="J66" s="36">
        <f>V66</f>
        <v>6498</v>
      </c>
      <c r="K66" s="36">
        <f>W66</f>
        <v>0</v>
      </c>
      <c r="L66" s="36">
        <f>X66</f>
        <v>6498</v>
      </c>
      <c r="M66" s="36">
        <f>Y66</f>
        <v>6498</v>
      </c>
      <c r="N66" s="46">
        <f>SUM(N67:N71)</f>
        <v>6498</v>
      </c>
      <c r="O66" s="46">
        <f>SUM(O67:O71)</f>
        <v>6498</v>
      </c>
      <c r="P66" s="46">
        <f>SUM(P67:P71)</f>
        <v>6498</v>
      </c>
      <c r="Q66" s="46">
        <f>SUM(Q67:Q71)</f>
        <v>0</v>
      </c>
      <c r="R66" s="46">
        <f>SUM(R67:R71)</f>
        <v>6498</v>
      </c>
      <c r="S66" s="46">
        <f>SUM(S67:S71)</f>
        <v>6498</v>
      </c>
      <c r="T66" s="46">
        <f>SUM(T67:T71)</f>
        <v>6498</v>
      </c>
      <c r="U66" s="46">
        <f>SUM(U67:U71)</f>
        <v>6498</v>
      </c>
      <c r="V66" s="46">
        <f>SUM(V67:V71)</f>
        <v>6498</v>
      </c>
      <c r="W66" s="46">
        <f>SUM(W67:W71)</f>
        <v>0</v>
      </c>
      <c r="X66" s="46">
        <f>SUM(X67:X71)</f>
        <v>6498</v>
      </c>
      <c r="Y66" s="46">
        <f>SUM(Y67:Y71)</f>
        <v>6498</v>
      </c>
      <c r="Z66" s="46">
        <f>SUMIF($B$13:$Y$13,"Yes",B66:Y66)</f>
        <v>38988</v>
      </c>
      <c r="AA66" s="46">
        <f>SUM(B66:M66)</f>
        <v>64980</v>
      </c>
      <c r="AB66" s="46">
        <f>SUM(B66:Y66)</f>
        <v>129960</v>
      </c>
    </row>
    <row r="67" spans="1:30" hidden="true" outlineLevel="1">
      <c r="A67" s="181" t="str">
        <f>Calculations!$A$4</f>
        <v>Potatoes</v>
      </c>
      <c r="B67" s="36">
        <f>N67</f>
        <v>6498</v>
      </c>
      <c r="C67" s="36">
        <f>O67</f>
        <v>6498</v>
      </c>
      <c r="D67" s="36">
        <f>P67</f>
        <v>6498</v>
      </c>
      <c r="E67" s="36">
        <f>Q67</f>
        <v>0</v>
      </c>
      <c r="F67" s="36">
        <f>R67</f>
        <v>6498</v>
      </c>
      <c r="G67" s="36">
        <f>S67</f>
        <v>6498</v>
      </c>
      <c r="H67" s="36">
        <f>T67</f>
        <v>6498</v>
      </c>
      <c r="I67" s="36">
        <f>U67</f>
        <v>6498</v>
      </c>
      <c r="J67" s="36">
        <f>V67</f>
        <v>6498</v>
      </c>
      <c r="K67" s="36">
        <f>W67</f>
        <v>0</v>
      </c>
      <c r="L67" s="36">
        <f>X67</f>
        <v>6498</v>
      </c>
      <c r="M67" s="36">
        <f>Y67</f>
        <v>6498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6498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6498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6498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6498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6498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6498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6498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6498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6498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6498</v>
      </c>
      <c r="Z67" s="46">
        <f>SUMIF($B$13:$Y$13,"Yes",B67:Y67)</f>
        <v>38988</v>
      </c>
      <c r="AA67" s="46">
        <f>SUM(B67:M67)</f>
        <v>64980</v>
      </c>
      <c r="AB67" s="46">
        <f>SUM(B67:Y67)</f>
        <v>129960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4750</v>
      </c>
      <c r="C75" s="46">
        <f>SUM(Calculations!$R$14:$R$16)/12</f>
        <v>4750</v>
      </c>
      <c r="D75" s="46">
        <f>SUM(Calculations!$R$14:$R$16)/12</f>
        <v>4750</v>
      </c>
      <c r="E75" s="46">
        <f>SUM(Calculations!$R$14:$R$16)/12</f>
        <v>4750</v>
      </c>
      <c r="F75" s="46">
        <f>SUM(Calculations!$R$14:$R$16)/12</f>
        <v>4750</v>
      </c>
      <c r="G75" s="46">
        <f>SUM(Calculations!$R$14:$R$16)/12</f>
        <v>4750</v>
      </c>
      <c r="H75" s="46">
        <f>SUM(Calculations!$R$14:$R$16)/12</f>
        <v>4750</v>
      </c>
      <c r="I75" s="46">
        <f>SUM(Calculations!$R$14:$R$16)/12</f>
        <v>4750</v>
      </c>
      <c r="J75" s="46">
        <f>SUM(Calculations!$R$14:$R$16)/12</f>
        <v>4750</v>
      </c>
      <c r="K75" s="46">
        <f>SUM(Calculations!$R$14:$R$16)/12</f>
        <v>4750</v>
      </c>
      <c r="L75" s="46">
        <f>SUM(Calculations!$R$14:$R$16)/12</f>
        <v>4750</v>
      </c>
      <c r="M75" s="46">
        <f>SUM(Calculations!$R$14:$R$16)/12</f>
        <v>4750</v>
      </c>
      <c r="N75" s="46">
        <f>SUM(Calculations!$R$14:$R$16)/12</f>
        <v>4750</v>
      </c>
      <c r="O75" s="46">
        <f>SUM(Calculations!$R$14:$R$16)/12</f>
        <v>4750</v>
      </c>
      <c r="P75" s="46">
        <f>SUM(Calculations!$R$14:$R$16)/12</f>
        <v>4750</v>
      </c>
      <c r="Q75" s="46">
        <f>SUM(Calculations!$R$14:$R$16)/12</f>
        <v>4750</v>
      </c>
      <c r="R75" s="46">
        <f>SUM(Calculations!$R$14:$R$16)/12</f>
        <v>4750</v>
      </c>
      <c r="S75" s="46">
        <f>SUM(Calculations!$R$14:$R$16)/12</f>
        <v>4750</v>
      </c>
      <c r="T75" s="46">
        <f>SUM(Calculations!$R$14:$R$16)/12</f>
        <v>4750</v>
      </c>
      <c r="U75" s="46">
        <f>SUM(Calculations!$R$14:$R$16)/12</f>
        <v>4750</v>
      </c>
      <c r="V75" s="46">
        <f>SUM(Calculations!$R$14:$R$16)/12</f>
        <v>4750</v>
      </c>
      <c r="W75" s="46">
        <f>SUM(Calculations!$R$14:$R$16)/12</f>
        <v>4750</v>
      </c>
      <c r="X75" s="46">
        <f>SUM(Calculations!$R$14:$R$16)/12</f>
        <v>4750</v>
      </c>
      <c r="Y75" s="46">
        <f>SUM(Calculations!$R$14:$R$16)/12</f>
        <v>4750</v>
      </c>
      <c r="Z75" s="46">
        <f>SUMIF($B$13:$Y$13,"Yes",B75:Y75)</f>
        <v>33250</v>
      </c>
      <c r="AA75" s="46">
        <f>SUM(B75:M75)</f>
        <v>57000</v>
      </c>
      <c r="AB75" s="46">
        <f>SUM(B75:Y75)</f>
        <v>114000</v>
      </c>
    </row>
    <row r="76" spans="1:30">
      <c r="A76" s="16" t="s">
        <v>48</v>
      </c>
      <c r="B76" s="46">
        <f>SUM(Calculations!$S$14:$S$16)/12</f>
        <v>8625</v>
      </c>
      <c r="C76" s="46">
        <f>SUM(Calculations!$S$14:$S$16)/12</f>
        <v>8625</v>
      </c>
      <c r="D76" s="46">
        <f>SUM(Calculations!$S$14:$S$16)/12</f>
        <v>8625</v>
      </c>
      <c r="E76" s="46">
        <f>SUM(Calculations!$S$14:$S$16)/12</f>
        <v>8625</v>
      </c>
      <c r="F76" s="46">
        <f>SUM(Calculations!$S$14:$S$16)/12</f>
        <v>8625</v>
      </c>
      <c r="G76" s="46">
        <f>SUM(Calculations!$S$14:$S$16)/12</f>
        <v>8625</v>
      </c>
      <c r="H76" s="46">
        <f>SUM(Calculations!$S$14:$S$16)/12</f>
        <v>8625</v>
      </c>
      <c r="I76" s="46">
        <f>SUM(Calculations!$S$14:$S$16)/12</f>
        <v>8625</v>
      </c>
      <c r="J76" s="46">
        <f>SUM(Calculations!$S$14:$S$16)/12</f>
        <v>8625</v>
      </c>
      <c r="K76" s="46">
        <f>SUM(Calculations!$S$14:$S$16)/12</f>
        <v>8625</v>
      </c>
      <c r="L76" s="46">
        <f>SUM(Calculations!$S$14:$S$16)/12</f>
        <v>8625</v>
      </c>
      <c r="M76" s="46">
        <f>SUM(Calculations!$S$14:$S$16)/12</f>
        <v>8625</v>
      </c>
      <c r="N76" s="46">
        <f>SUM(Calculations!$S$14:$S$16)/12</f>
        <v>8625</v>
      </c>
      <c r="O76" s="46">
        <f>SUM(Calculations!$S$14:$S$16)/12</f>
        <v>8625</v>
      </c>
      <c r="P76" s="46">
        <f>SUM(Calculations!$S$14:$S$16)/12</f>
        <v>8625</v>
      </c>
      <c r="Q76" s="46">
        <f>SUM(Calculations!$S$14:$S$16)/12</f>
        <v>8625</v>
      </c>
      <c r="R76" s="46">
        <f>SUM(Calculations!$S$14:$S$16)/12</f>
        <v>8625</v>
      </c>
      <c r="S76" s="46">
        <f>SUM(Calculations!$S$14:$S$16)/12</f>
        <v>8625</v>
      </c>
      <c r="T76" s="46">
        <f>SUM(Calculations!$S$14:$S$16)/12</f>
        <v>8625</v>
      </c>
      <c r="U76" s="46">
        <f>SUM(Calculations!$S$14:$S$16)/12</f>
        <v>8625</v>
      </c>
      <c r="V76" s="46">
        <f>SUM(Calculations!$S$14:$S$16)/12</f>
        <v>8625</v>
      </c>
      <c r="W76" s="46">
        <f>SUM(Calculations!$S$14:$S$16)/12</f>
        <v>8625</v>
      </c>
      <c r="X76" s="46">
        <f>SUM(Calculations!$S$14:$S$16)/12</f>
        <v>8625</v>
      </c>
      <c r="Y76" s="46">
        <f>SUM(Calculations!$S$14:$S$16)/12</f>
        <v>8625</v>
      </c>
      <c r="Z76" s="46">
        <f>SUMIF($B$13:$Y$13,"Yes",B76:Y76)</f>
        <v>60375</v>
      </c>
      <c r="AA76" s="46">
        <f>SUM(B76:M76)</f>
        <v>103500</v>
      </c>
      <c r="AB76" s="46">
        <f>SUM(B76:Y76)</f>
        <v>207000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40460.45535241956</v>
      </c>
      <c r="C81" s="46">
        <f>(SUM($AA$18:$AA$29)-SUM($AA$36,$AA$42,$AA$48,$AA$54,$AA$60,$AA$66,$AA$72:$AA$79))*Parameters!$B$37/12</f>
        <v>40460.45535241956</v>
      </c>
      <c r="D81" s="46">
        <f>(SUM($AA$18:$AA$29)-SUM($AA$36,$AA$42,$AA$48,$AA$54,$AA$60,$AA$66,$AA$72:$AA$79))*Parameters!$B$37/12</f>
        <v>40460.45535241956</v>
      </c>
      <c r="E81" s="46">
        <f>(SUM($AA$18:$AA$29)-SUM($AA$36,$AA$42,$AA$48,$AA$54,$AA$60,$AA$66,$AA$72:$AA$79))*Parameters!$B$37/12</f>
        <v>40460.45535241956</v>
      </c>
      <c r="F81" s="46">
        <f>(SUM($AA$18:$AA$29)-SUM($AA$36,$AA$42,$AA$48,$AA$54,$AA$60,$AA$66,$AA$72:$AA$79))*Parameters!$B$37/12</f>
        <v>40460.45535241956</v>
      </c>
      <c r="G81" s="46">
        <f>(SUM($AA$18:$AA$29)-SUM($AA$36,$AA$42,$AA$48,$AA$54,$AA$60,$AA$66,$AA$72:$AA$79))*Parameters!$B$37/12</f>
        <v>40460.45535241956</v>
      </c>
      <c r="H81" s="46">
        <f>(SUM($AA$18:$AA$29)-SUM($AA$36,$AA$42,$AA$48,$AA$54,$AA$60,$AA$66,$AA$72:$AA$79))*Parameters!$B$37/12</f>
        <v>40460.45535241956</v>
      </c>
      <c r="I81" s="46">
        <f>(SUM($AA$18:$AA$29)-SUM($AA$36,$AA$42,$AA$48,$AA$54,$AA$60,$AA$66,$AA$72:$AA$79))*Parameters!$B$37/12</f>
        <v>40460.45535241956</v>
      </c>
      <c r="J81" s="46">
        <f>(SUM($AA$18:$AA$29)-SUM($AA$36,$AA$42,$AA$48,$AA$54,$AA$60,$AA$66,$AA$72:$AA$79))*Parameters!$B$37/12</f>
        <v>40460.45535241956</v>
      </c>
      <c r="K81" s="46">
        <f>(SUM($AA$18:$AA$29)-SUM($AA$36,$AA$42,$AA$48,$AA$54,$AA$60,$AA$66,$AA$72:$AA$79))*Parameters!$B$37/12</f>
        <v>40460.45535241956</v>
      </c>
      <c r="L81" s="46">
        <f>(SUM($AA$18:$AA$29)-SUM($AA$36,$AA$42,$AA$48,$AA$54,$AA$60,$AA$66,$AA$72:$AA$79))*Parameters!$B$37/12</f>
        <v>40460.45535241956</v>
      </c>
      <c r="M81" s="46">
        <f>(SUM($AA$18:$AA$29)-SUM($AA$36,$AA$42,$AA$48,$AA$54,$AA$60,$AA$66,$AA$72:$AA$79))*Parameters!$B$37/12</f>
        <v>40460.45535241956</v>
      </c>
      <c r="N81" s="46">
        <f>(SUM($AA$18:$AA$29)-SUM($AA$36,$AA$42,$AA$48,$AA$54,$AA$60,$AA$66,$AA$72:$AA$79))*Parameters!$B$37/12</f>
        <v>40460.45535241956</v>
      </c>
      <c r="O81" s="46">
        <f>(SUM($AA$18:$AA$29)-SUM($AA$36,$AA$42,$AA$48,$AA$54,$AA$60,$AA$66,$AA$72:$AA$79))*Parameters!$B$37/12</f>
        <v>40460.45535241956</v>
      </c>
      <c r="P81" s="46">
        <f>(SUM($AA$18:$AA$29)-SUM($AA$36,$AA$42,$AA$48,$AA$54,$AA$60,$AA$66,$AA$72:$AA$79))*Parameters!$B$37/12</f>
        <v>40460.45535241956</v>
      </c>
      <c r="Q81" s="46">
        <f>(SUM($AA$18:$AA$29)-SUM($AA$36,$AA$42,$AA$48,$AA$54,$AA$60,$AA$66,$AA$72:$AA$79))*Parameters!$B$37/12</f>
        <v>40460.45535241956</v>
      </c>
      <c r="R81" s="46">
        <f>(SUM($AA$18:$AA$29)-SUM($AA$36,$AA$42,$AA$48,$AA$54,$AA$60,$AA$66,$AA$72:$AA$79))*Parameters!$B$37/12</f>
        <v>40460.45535241956</v>
      </c>
      <c r="S81" s="46">
        <f>(SUM($AA$18:$AA$29)-SUM($AA$36,$AA$42,$AA$48,$AA$54,$AA$60,$AA$66,$AA$72:$AA$79))*Parameters!$B$37/12</f>
        <v>40460.45535241956</v>
      </c>
      <c r="T81" s="46">
        <f>(SUM($AA$18:$AA$29)-SUM($AA$36,$AA$42,$AA$48,$AA$54,$AA$60,$AA$66,$AA$72:$AA$79))*Parameters!$B$37/12</f>
        <v>40460.45535241956</v>
      </c>
      <c r="U81" s="46">
        <f>(SUM($AA$18:$AA$29)-SUM($AA$36,$AA$42,$AA$48,$AA$54,$AA$60,$AA$66,$AA$72:$AA$79))*Parameters!$B$37/12</f>
        <v>40460.45535241956</v>
      </c>
      <c r="V81" s="46">
        <f>(SUM($AA$18:$AA$29)-SUM($AA$36,$AA$42,$AA$48,$AA$54,$AA$60,$AA$66,$AA$72:$AA$79))*Parameters!$B$37/12</f>
        <v>40460.45535241956</v>
      </c>
      <c r="W81" s="46">
        <f>(SUM($AA$18:$AA$29)-SUM($AA$36,$AA$42,$AA$48,$AA$54,$AA$60,$AA$66,$AA$72:$AA$79))*Parameters!$B$37/12</f>
        <v>40460.45535241956</v>
      </c>
      <c r="X81" s="46">
        <f>(SUM($AA$18:$AA$29)-SUM($AA$36,$AA$42,$AA$48,$AA$54,$AA$60,$AA$66,$AA$72:$AA$79))*Parameters!$B$37/12</f>
        <v>40460.45535241956</v>
      </c>
      <c r="Y81" s="46">
        <f>(SUM($AA$18:$AA$29)-SUM($AA$36,$AA$42,$AA$48,$AA$54,$AA$60,$AA$66,$AA$72:$AA$79))*Parameters!$B$37/12</f>
        <v>40460.45535241956</v>
      </c>
      <c r="Z81" s="46">
        <f>SUMIF($B$13:$Y$13,"Yes",B81:Y81)</f>
        <v>283223.1874669369</v>
      </c>
      <c r="AA81" s="46">
        <f>SUM(B81:M81)</f>
        <v>485525.4642290348</v>
      </c>
      <c r="AB81" s="46">
        <f>SUM(B81:Y81)</f>
        <v>971050.9284580691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73233.45535241955</v>
      </c>
      <c r="C88" s="19">
        <f>SUM(C72:C82,C66,C60,C54,C48,C42,C36)</f>
        <v>60333.45535241956</v>
      </c>
      <c r="D88" s="19">
        <f>SUM(D72:D82,D66,D60,D54,D48,D42,D36)</f>
        <v>60333.45535241956</v>
      </c>
      <c r="E88" s="19">
        <f>SUM(E72:E82,E66,E60,E54,E48,E42,E36)</f>
        <v>53835.45535241956</v>
      </c>
      <c r="F88" s="19">
        <f>SUM(F72:F82,F66,F60,F54,F48,F42,F36)</f>
        <v>132333.4553524196</v>
      </c>
      <c r="G88" s="19">
        <f>SUM(G72:G82,G66,G60,G54,G48,G42,G36)</f>
        <v>60333.45535241956</v>
      </c>
      <c r="H88" s="19">
        <f>SUM(H72:H82,H66,H60,H54,H48,H42,H36)</f>
        <v>73233.45535241955</v>
      </c>
      <c r="I88" s="19">
        <f>SUM(I72:I82,I66,I60,I54,I48,I42,I36)</f>
        <v>60333.45535241956</v>
      </c>
      <c r="J88" s="19">
        <f>SUM(J72:J82,J66,J60,J54,J48,J42,J36)</f>
        <v>60333.45535241956</v>
      </c>
      <c r="K88" s="19">
        <f>SUM(K72:K82,K66,K60,K54,K48,K42,K36)</f>
        <v>53835.45535241956</v>
      </c>
      <c r="L88" s="19">
        <f>SUM(L72:L82,L66,L60,L54,L48,L42,L36)</f>
        <v>132333.4553524196</v>
      </c>
      <c r="M88" s="19">
        <f>SUM(M72:M82,M66,M60,M54,M48,M42,M36)</f>
        <v>60333.45535241956</v>
      </c>
      <c r="N88" s="19">
        <f>SUM(N72:N82,N66,N60,N54,N48,N42,N36)</f>
        <v>73233.45535241955</v>
      </c>
      <c r="O88" s="19">
        <f>SUM(O72:O82,O66,O60,O54,O48,O42,O36)</f>
        <v>60333.45535241956</v>
      </c>
      <c r="P88" s="19">
        <f>SUM(P72:P82,P66,P60,P54,P48,P42,P36)</f>
        <v>60333.45535241956</v>
      </c>
      <c r="Q88" s="19">
        <f>SUM(Q72:Q82,Q66,Q60,Q54,Q48,Q42,Q36)</f>
        <v>53835.45535241956</v>
      </c>
      <c r="R88" s="19">
        <f>SUM(R72:R82,R66,R60,R54,R48,R42,R36)</f>
        <v>132333.4553524196</v>
      </c>
      <c r="S88" s="19">
        <f>SUM(S72:S82,S66,S60,S54,S48,S42,S36)</f>
        <v>60333.45535241956</v>
      </c>
      <c r="T88" s="19">
        <f>SUM(T72:T82,T66,T60,T54,T48,T42,T36)</f>
        <v>73233.45535241955</v>
      </c>
      <c r="U88" s="19">
        <f>SUM(U72:U82,U66,U60,U54,U48,U42,U36)</f>
        <v>60333.45535241956</v>
      </c>
      <c r="V88" s="19">
        <f>SUM(V72:V82,V66,V60,V54,V48,V42,V36)</f>
        <v>60333.45535241956</v>
      </c>
      <c r="W88" s="19">
        <f>SUM(W72:W82,W66,W60,W54,W48,W42,W36)</f>
        <v>53835.45535241956</v>
      </c>
      <c r="X88" s="19">
        <f>SUM(X72:X82,X66,X60,X54,X48,X42,X36)</f>
        <v>132333.4553524196</v>
      </c>
      <c r="Y88" s="19">
        <f>SUM(Y72:Y82,Y66,Y60,Y54,Y48,Y42,Y36)</f>
        <v>60333.45535241956</v>
      </c>
      <c r="Z88" s="19">
        <f>SUMIF($B$13:$Y$13,"Yes",B88:Y88)</f>
        <v>513636.1874669369</v>
      </c>
      <c r="AA88" s="19">
        <f>SUM(B88:M88)</f>
        <v>880805.4642290345</v>
      </c>
      <c r="AB88" s="19">
        <f>SUM(B88:Y88)</f>
        <v>1761610.928458069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</v>
      </c>
    </row>
    <row r="95" spans="1:30">
      <c r="A95" t="s">
        <v>61</v>
      </c>
      <c r="B95" s="36">
        <f>Inputs!B47</f>
        <v>750000</v>
      </c>
    </row>
    <row r="96" spans="1:30">
      <c r="A96" t="s">
        <v>62</v>
      </c>
      <c r="B96" s="36">
        <f>SUMPRODUCT(Inputs!C19:C21,Calculations!O14:O16)</f>
        <v>2865000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1500</v>
      </c>
    </row>
    <row r="99" spans="1:30">
      <c r="A99" t="s">
        <v>65</v>
      </c>
      <c r="B99" s="36">
        <f>Inputs!B46</f>
        <v>15000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6684000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120</v>
      </c>
      <c r="D19" s="145"/>
      <c r="E19" s="20"/>
      <c r="F19" s="145" t="s">
        <v>93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45</v>
      </c>
      <c r="D20" s="147"/>
      <c r="E20" s="16"/>
      <c r="F20" s="147" t="s">
        <v>93</v>
      </c>
      <c r="G20" s="16"/>
      <c r="H20" s="16"/>
      <c r="I20" s="147" t="s">
        <v>109</v>
      </c>
      <c r="J20" s="147"/>
      <c r="K20" s="147"/>
      <c r="L20" s="30"/>
    </row>
    <row r="21" spans="1:48">
      <c r="A21" s="144" t="s">
        <v>111</v>
      </c>
      <c r="B21" s="23"/>
      <c r="C21" s="144">
        <v>6</v>
      </c>
      <c r="D21" s="150">
        <v>6</v>
      </c>
      <c r="E21" s="23"/>
      <c r="F21" s="150" t="s">
        <v>92</v>
      </c>
      <c r="G21" s="23"/>
      <c r="H21" s="23"/>
      <c r="I21" s="150" t="s">
        <v>109</v>
      </c>
      <c r="J21" s="150">
        <v>5</v>
      </c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/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1500</v>
      </c>
    </row>
    <row r="46" spans="1:48" customHeight="1" ht="30">
      <c r="A46" s="57" t="s">
        <v>131</v>
      </c>
      <c r="B46" s="161">
        <v>15000</v>
      </c>
    </row>
    <row r="47" spans="1:48" customHeight="1" ht="30">
      <c r="A47" s="57" t="s">
        <v>132</v>
      </c>
      <c r="B47" s="161">
        <v>750000</v>
      </c>
    </row>
    <row r="48" spans="1:48" customHeight="1" ht="30">
      <c r="A48" s="57" t="s">
        <v>133</v>
      </c>
      <c r="B48" s="161">
        <v>2000000</v>
      </c>
    </row>
    <row r="49" spans="1:48" customHeight="1" ht="30">
      <c r="A49" s="57" t="s">
        <v>134</v>
      </c>
      <c r="B49" s="161">
        <v>2500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60000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50000</v>
      </c>
      <c r="B57" s="157">
        <v>0</v>
      </c>
      <c r="C57" s="164" t="s">
        <v>146</v>
      </c>
      <c r="D57" s="165" t="s">
        <v>144</v>
      </c>
      <c r="E57" s="165" t="s">
        <v>92</v>
      </c>
      <c r="F57" s="165" t="s">
        <v>145</v>
      </c>
    </row>
    <row r="58" spans="1:48">
      <c r="A58" s="157">
        <v>50000</v>
      </c>
      <c r="B58" s="157">
        <v>0</v>
      </c>
      <c r="C58" s="164" t="s">
        <v>147</v>
      </c>
      <c r="D58" s="165" t="s">
        <v>144</v>
      </c>
      <c r="E58" s="165" t="s">
        <v>92</v>
      </c>
      <c r="F58" s="165" t="s">
        <v>145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149</v>
      </c>
      <c r="C65" s="10" t="s">
        <v>150</v>
      </c>
    </row>
    <row r="66" spans="1:48">
      <c r="A66" s="142" t="s">
        <v>151</v>
      </c>
      <c r="B66" s="159">
        <v>178550</v>
      </c>
      <c r="C66" s="163">
        <v>227951</v>
      </c>
      <c r="D66" s="49">
        <f>INDEX(Parameters!$D$79:$D$90,MATCH(Inputs!A66,Parameters!$C$79:$C$90,0))</f>
        <v>6</v>
      </c>
    </row>
    <row r="67" spans="1:48">
      <c r="A67" s="143" t="s">
        <v>152</v>
      </c>
      <c r="B67" s="157">
        <v>47477</v>
      </c>
      <c r="C67" s="165">
        <v>76521</v>
      </c>
      <c r="D67" s="49">
        <f>INDEX(Parameters!$D$79:$D$90,MATCH(Inputs!A67,Parameters!$C$79:$C$90,0))</f>
        <v>7</v>
      </c>
    </row>
    <row r="68" spans="1:48">
      <c r="A68" s="143" t="s">
        <v>153</v>
      </c>
      <c r="B68" s="157">
        <v>347700</v>
      </c>
      <c r="C68" s="165">
        <v>337269</v>
      </c>
      <c r="D68" s="49">
        <f>INDEX(Parameters!$D$79:$D$90,MATCH(Inputs!A68,Parameters!$C$79:$C$90,0))</f>
        <v>8</v>
      </c>
    </row>
    <row r="69" spans="1:48">
      <c r="A69" s="143" t="s">
        <v>154</v>
      </c>
      <c r="B69" s="157">
        <v>464288</v>
      </c>
      <c r="C69" s="165">
        <v>482126</v>
      </c>
      <c r="D69" s="49">
        <f>INDEX(Parameters!$D$79:$D$90,MATCH(Inputs!A69,Parameters!$C$79:$C$90,0))</f>
        <v>9</v>
      </c>
    </row>
    <row r="70" spans="1:48">
      <c r="A70" s="143" t="s">
        <v>155</v>
      </c>
      <c r="B70" s="157">
        <v>1021950</v>
      </c>
      <c r="C70" s="165">
        <v>930321</v>
      </c>
      <c r="D70" s="49">
        <f>INDEX(Parameters!$D$79:$D$90,MATCH(Inputs!A70,Parameters!$C$79:$C$90,0))</f>
        <v>10</v>
      </c>
    </row>
    <row r="71" spans="1:48">
      <c r="A71" s="144" t="s">
        <v>156</v>
      </c>
      <c r="B71" s="158">
        <v>517270</v>
      </c>
      <c r="C71" s="167">
        <v>455344</v>
      </c>
      <c r="D71" s="49">
        <f>INDEX(Parameters!$D$79:$D$90,MATCH(Inputs!A71,Parameters!$C$79:$C$90,0))</f>
        <v>11</v>
      </c>
    </row>
    <row r="73" spans="1:48">
      <c r="A73" s="3" t="s">
        <v>157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158</v>
      </c>
      <c r="B75" s="161">
        <v>14</v>
      </c>
    </row>
    <row r="76" spans="1:48">
      <c r="A76" t="s">
        <v>159</v>
      </c>
      <c r="B76" s="168" t="s">
        <v>160</v>
      </c>
    </row>
    <row r="78" spans="1:48" customHeight="1" ht="20.25">
      <c r="B78" s="127" t="s">
        <v>161</v>
      </c>
    </row>
    <row r="79" spans="1:48">
      <c r="A79" t="s">
        <v>162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200000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6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25674.04419983961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546343.6605725868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34200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120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4500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225000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36000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45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345000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27000</v>
      </c>
      <c r="S15" s="64">
        <f>IFERROR(D15*INDEX(Parameters!$A$22:$P$29,MATCH(Calculations!$A15,Parameters!$A$22:$A$29,0),MATCH(Parameters!$N$22,Parameters!$A$22:$P$22,0)),"")</f>
        <v>31500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6</v>
      </c>
      <c r="E16" s="16">
        <f>Inputs!D21</f>
        <v>6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2.631578947368421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7.894736842105264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0.05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492750.0000000001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6000</v>
      </c>
      <c r="S16" s="64">
        <f>IFERROR(D16*INDEX(Parameters!$A$22:$P$29,MATCH(Calculations!$A16,Parameters!$A$22:$A$29,0),MATCH(Parameters!$N$22,Parameters!$A$22:$P$22,0)),"")</f>
        <v>36000</v>
      </c>
    </row>
    <row r="17" spans="1:52">
      <c r="A17" s="23" t="str">
        <f>IFERROR(INDEX($A$14:$A$16,MATCH(Parameters!$B$23,Calculations!$B$14:$B$16,0)),"")</f>
        <v>Cows_dairy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6</v>
      </c>
      <c r="E17" s="23"/>
      <c r="F17" s="6">
        <f>IFERROR(INDEX(Parameters!$A$22:$P$29,MATCH(Calculations!$A17,Parameters!$A$22:$A$29,0),MATCH(Parameters!$P$22,Parameters!$A$22:$P$22,0)),"")</f>
        <v>60</v>
      </c>
      <c r="G17" s="120">
        <f>IF(A17="","",INDEX(G14:G16,MATCH(Parameters!B23,B14:B16,0)))</f>
        <v>2.631578947368421</v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N/A</v>
      </c>
      <c r="J17" s="126"/>
      <c r="K17" s="61"/>
      <c r="L17" s="172">
        <f>IF(A17="","",DATE(YEAR(Inputs!$B$76),MONTH(Inputs!$B$76)+Parameters!O23-INDEX(Inputs!$L$19:$L$21,MATCH(Parameters!$A$23,Inputs!$A$19:$A$21,0)),1))</f>
        <v>43617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60000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50000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50000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43121</v>
      </c>
      <c r="C33" s="27">
        <f>IF(B33&lt;&gt;"",IF(COUNT($A$33:A33)&lt;=$G$39,0,$G$41)+IF(COUNT($A$33:A33)&lt;=$G$40,0,$G$42),0)</f>
        <v>36666.66666666667</v>
      </c>
      <c r="D33" s="170">
        <f>IFERROR(DATE(YEAR(B33),MONTH(B33),1)," ")</f>
        <v>43101</v>
      </c>
      <c r="F33" t="s">
        <v>162</v>
      </c>
      <c r="G33" s="128">
        <f>IF(Inputs!B79="","",DATE(YEAR(Inputs!B79),MONTH(Inputs!B79),DAY(Inputs!B79)))</f>
        <v>43090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43152</v>
      </c>
      <c r="C34" s="27">
        <f>IF(B34&lt;&gt;"",IF(COUNT($A$33:A34)&lt;=$G$39,0,$G$41)+IF(COUNT($A$33:A34)&lt;=$G$40,0,$G$42),0)</f>
        <v>36666.66666666667</v>
      </c>
      <c r="D34" s="170">
        <f>IFERROR(DATE(YEAR(B34),MONTH(B34),1)," ")</f>
        <v>43132</v>
      </c>
      <c r="F34" t="s">
        <v>163</v>
      </c>
      <c r="G34" s="128">
        <f>IF(Inputs!B80="","",DATE(YEAR(Inputs!B80),MONTH(Inputs!B80),DAY(Inputs!B80)))</f>
        <v>43121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43180</v>
      </c>
      <c r="C35" s="27">
        <f>IF(B35&lt;&gt;"",IF(COUNT($A$33:A35)&lt;=$G$39,0,$G$41)+IF(COUNT($A$33:A35)&lt;=$G$40,0,$G$42),0)</f>
        <v>36666.66666666667</v>
      </c>
      <c r="D35" s="170">
        <f>IFERROR(DATE(YEAR(B35),MONTH(B35),1)," ")</f>
        <v>43160</v>
      </c>
      <c r="F35" t="s">
        <v>165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43211</v>
      </c>
      <c r="C36" s="27">
        <f>IF(B36&lt;&gt;"",IF(COUNT($A$33:A36)&lt;=$G$39,0,$G$41)+IF(COUNT($A$33:A36)&lt;=$G$40,0,$G$42),0)</f>
        <v>36666.66666666667</v>
      </c>
      <c r="D36" s="170">
        <f>IFERROR(DATE(YEAR(B36),MONTH(B36),1)," ")</f>
        <v>43191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43241</v>
      </c>
      <c r="C37" s="27">
        <f>IF(B37&lt;&gt;"",IF(COUNT($A$33:A37)&lt;=$G$39,0,$G$41)+IF(COUNT($A$33:A37)&lt;=$G$40,0,$G$42),0)</f>
        <v>36666.66666666667</v>
      </c>
      <c r="D37" s="170">
        <f>IFERROR(DATE(YEAR(B37),MONTH(B37),1)," ")</f>
        <v>43221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43272</v>
      </c>
      <c r="C38" s="27">
        <f>IF(B38&lt;&gt;"",IF(COUNT($A$33:A38)&lt;=$G$39,0,$G$41)+IF(COUNT($A$33:A38)&lt;=$G$40,0,$G$42),0)</f>
        <v>36666.66666666667</v>
      </c>
      <c r="D38" s="170">
        <f>IFERROR(DATE(YEAR(B38),MONTH(B38),1)," ")</f>
        <v>43252</v>
      </c>
      <c r="F38" t="s">
        <v>228</v>
      </c>
      <c r="G38" s="27">
        <f>IFERROR(Inputs!B85/Inputs!B84,"")</f>
        <v>6</v>
      </c>
    </row>
    <row r="39" spans="1:52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229</v>
      </c>
      <c r="G41" s="73">
        <f>IFERROR(G35/(G38-G39),"")</f>
        <v>33333.33333333334</v>
      </c>
      <c r="H41" s="73"/>
    </row>
    <row r="42" spans="1:52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230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52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203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299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299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108</v>
      </c>
      <c r="B28" s="71" t="s">
        <v>299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299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108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273</v>
      </c>
      <c r="E52" s="12" t="s">
        <v>273</v>
      </c>
      <c r="F52" s="12" t="s">
        <v>273</v>
      </c>
      <c r="G52" s="12" t="s">
        <v>314</v>
      </c>
      <c r="H52" s="12" t="s">
        <v>128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231</v>
      </c>
      <c r="E53" s="10" t="s">
        <v>190</v>
      </c>
      <c r="F53" s="10" t="s">
        <v>250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168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227</v>
      </c>
      <c r="J76" s="11" t="s">
        <v>348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350</v>
      </c>
      <c r="J77" s="136" t="s">
        <v>351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355</v>
      </c>
      <c r="H78" s="12" t="s">
        <v>315</v>
      </c>
      <c r="I78" s="12" t="s">
        <v>356</v>
      </c>
      <c r="J78" s="70" t="s">
        <v>357</v>
      </c>
      <c r="K78" s="12" t="s">
        <v>93</v>
      </c>
      <c r="AJ78" s="12"/>
    </row>
    <row r="79" spans="1:36">
      <c r="B79" s="176">
        <v>10</v>
      </c>
      <c r="C79" s="12" t="s">
        <v>358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168</v>
      </c>
      <c r="J79" s="70" t="s">
        <v>362</v>
      </c>
      <c r="K79" s="12" t="s">
        <v>93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366</v>
      </c>
      <c r="D81" s="12">
        <f>D80+1</f>
        <v>3</v>
      </c>
      <c r="J81" s="70" t="s">
        <v>367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368</v>
      </c>
      <c r="D83" s="12">
        <f>D82+1</f>
        <v>5</v>
      </c>
    </row>
    <row r="84" spans="1:36">
      <c r="B84" s="176">
        <v>60</v>
      </c>
      <c r="C84" s="12" t="s">
        <v>151</v>
      </c>
      <c r="D84" s="12">
        <f>D83+1</f>
        <v>6</v>
      </c>
    </row>
    <row r="85" spans="1:36">
      <c r="B85" s="176">
        <v>70</v>
      </c>
      <c r="C85" s="12" t="s">
        <v>152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156</v>
      </c>
      <c r="D89" s="12">
        <f>D88+1</f>
        <v>11</v>
      </c>
    </row>
    <row r="90" spans="1:36">
      <c r="C90" s="12" t="s">
        <v>369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