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<sst xmlns="http://schemas.openxmlformats.org/spreadsheetml/2006/main" uniqueCount="368">
  <si>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</si>
  <si>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</si>
  <si>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</si>
  <si>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</si>
  <si>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</si>
  <si>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</si>
  <si>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</si>
  <si>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</si>
  <si>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</si>
  <si>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</si>
  <si>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</si>
  <si>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</si>
  <si>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</si>
  <si>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</si>
  <si>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</si>
  <si>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</si>
  <si>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</si>
  <si>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</si>
  <si>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</si>
  <si>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</si>
  <si>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</si>
  <si>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</si>
  <si>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</si>
  <si>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</si>
  <si>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</si>
  <si>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</si>
  <si>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</si>
  <si>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</si>
  <si>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</si>
  <si>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</si>
  <si>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</si>
  <si>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</si>
  <si>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</si>
  <si>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</si>
  <si>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</si>
  <si>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</si>
  <si>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</si>
  <si>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</si>
  <si>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</si>
  <si>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</si>
  <si>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</si>
  <si>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</si>
  <si>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</si>
  <si>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</si>
  <si>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</si>
  <si>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</si>
  <si>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</si>
  <si>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</si>
  <si>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</si>
  <si>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</si>
  <si>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</si>
  <si>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</si>
  <si>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</si>
  <si>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</si>
  <si>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</si>
  <si>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</si>
  <si>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</si>
  <si>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</si>
  <si>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</si>
  <si>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</si>
  <si>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</si>
  <si>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</si>
  <si>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</si>
  <si>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</si>
  <si>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</si>
  <si>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</si>
  <si>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</si>
  <si>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</si>
  <si>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</si>
  <si>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</si>
  <si>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</si>
  <si>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</si>
  <si>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</si>
  <si>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</si>
  <si>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</si>
  <si>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</si>
  <si>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</si>
  <si>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</si>
  <si>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</si>
  <si>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</si>
  <si>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</si>
  <si>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</si>
  <si>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</si>
  <si>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</si>
  <si>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</si>
  <si>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</si>
  <si>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</si>
  <si>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</si>
  <si>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</si>
  <si>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</si>
  <si>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</si>
  <si>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</si>
  <si>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</si>
  <si>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August</t>
  </si>
  <si>
    <t>Potatoes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</si>
  <si>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</si>
  <si>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</si>
  <si>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</si>
  <si>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</si>
  <si>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</si>
  <si>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</si>
  <si>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</si>
  <si>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</si>
  <si>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</si>
  <si>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</si>
  <si>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</si>
  <si>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</si>
  <si>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</si>
  <si>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</si>
  <si>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</si>
  <si>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</si>
  <si>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</si>
  <si>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</si>
  <si>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</si>
  <si>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</si>
  <si>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</si>
  <si>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</si>
  <si>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  and supply of cereals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</si>
  <si>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</si>
  <si>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</si>
  <si>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</si>
  <si>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</si>
  <si>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</si>
  <si>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</si>
  <si>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</si>
  <si>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</si>
  <si>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</si>
  <si>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</si>
  <si>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</si>
  <si>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</si>
  <si>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</si>
  <si>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</si>
  <si>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</si>
  <si>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</si>
  <si>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</si>
  <si>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</si>
  <si>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</si>
  <si>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</si>
  <si>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</si>
  <si>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</si>
  <si>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</si>
  <si>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</si>
  <si>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</si>
  <si>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</si>
  <si>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</si>
  <si>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</si>
  <si>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12/22/2016</t>
  </si>
  <si>
    <t>Equity</t>
  </si>
  <si>
    <t>Well serviced.</t>
  </si>
  <si>
    <t>Mpesa &amp; bank cash flows (from past statements)</t>
  </si>
  <si>
    <t>Cash inflows</t>
  </si>
  <si>
    <t>Cash outflows</t>
  </si>
  <si>
    <t>June</t>
  </si>
  <si>
    <t>July</t>
  </si>
  <si>
    <t>September</t>
  </si>
  <si>
    <t>October</t>
  </si>
  <si>
    <t>November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</si>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</sst>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transport  and supply of cereals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0.973435499207607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-2817648.934065932</v>
      </c>
    </row>
    <row r="18" spans="1:7">
      <c r="B18" s="1" t="s">
        <v>12</v>
      </c>
      <c r="C18" s="36">
        <f>MIN(Output!B6:M6)</f>
        <v>-243749.4111721611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-230317.4111721611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3395000</v>
      </c>
    </row>
    <row r="25" spans="1:7">
      <c r="B25" s="1" t="s">
        <v>18</v>
      </c>
      <c r="C25" s="36">
        <f>MAX(Inputs!A56:A60)</f>
        <v>3395000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-234669.4111721611</v>
      </c>
      <c r="C6" s="51">
        <f>C30-C88</f>
        <v>-230749.4111721611</v>
      </c>
      <c r="D6" s="51">
        <f>D30-D88</f>
        <v>-230317.4111721611</v>
      </c>
      <c r="E6" s="51">
        <f>E30-E88</f>
        <v>-243749.4111721611</v>
      </c>
      <c r="F6" s="51">
        <f>F30-F88</f>
        <v>-234669.4111721611</v>
      </c>
      <c r="G6" s="51">
        <f>G30-G88</f>
        <v>-234669.4111721611</v>
      </c>
      <c r="H6" s="51">
        <f>H30-H88</f>
        <v>-234669.4111721611</v>
      </c>
      <c r="I6" s="51">
        <f>I30-I88</f>
        <v>-230749.4111721611</v>
      </c>
      <c r="J6" s="51">
        <f>J30-J88</f>
        <v>-230317.4111721611</v>
      </c>
      <c r="K6" s="51">
        <f>K30-K88</f>
        <v>-243749.4111721611</v>
      </c>
      <c r="L6" s="51">
        <f>L30-L88</f>
        <v>-234669.4111721611</v>
      </c>
      <c r="M6" s="51">
        <f>M30-M88</f>
        <v>-234669.4111721611</v>
      </c>
      <c r="N6" s="51">
        <f>N30-N88</f>
        <v>-234669.4111721611</v>
      </c>
      <c r="O6" s="51">
        <f>O30-O88</f>
        <v>-230749.4111721611</v>
      </c>
      <c r="P6" s="51">
        <f>P30-P88</f>
        <v>-230317.4111721611</v>
      </c>
      <c r="Q6" s="51">
        <f>Q30-Q88</f>
        <v>-243749.4111721611</v>
      </c>
      <c r="R6" s="51">
        <f>R30-R88</f>
        <v>-234669.4111721611</v>
      </c>
      <c r="S6" s="51">
        <f>S30-S88</f>
        <v>-234669.4111721611</v>
      </c>
      <c r="T6" s="51">
        <f>T30-T88</f>
        <v>-234669.4111721611</v>
      </c>
      <c r="U6" s="51">
        <f>U30-U88</f>
        <v>-230749.4111721611</v>
      </c>
      <c r="V6" s="51">
        <f>V30-V88</f>
        <v>-230317.4111721611</v>
      </c>
      <c r="W6" s="51">
        <f>W30-W88</f>
        <v>-243749.4111721611</v>
      </c>
      <c r="X6" s="51">
        <f>X30-X88</f>
        <v>-234669.4111721611</v>
      </c>
      <c r="Y6" s="51">
        <f>Y30-Y88</f>
        <v>-234669.4111721611</v>
      </c>
      <c r="Z6" s="51">
        <f>SUMIF($B$13:$Y$13,"Yes",B6:Y6)</f>
        <v>-3052318.345238093</v>
      </c>
      <c r="AA6" s="51">
        <f>AA30-AA88</f>
        <v>-2817648.934065932</v>
      </c>
      <c r="AB6" s="51">
        <f>AB30-AB88</f>
        <v>-5635297.868131868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-32856</v>
      </c>
      <c r="I7" s="80">
        <f>IF(ISERROR(VLOOKUP(MONTH(I5),Inputs!$D$66:$D$71,1,0)),"",INDEX(Inputs!$B$66:$B$71,MATCH(MONTH(Output!I5),Inputs!$D$66:$D$71,0))-INDEX(Inputs!$C$66:$C$71,MATCH(MONTH(Output!I5),Inputs!$D$66:$D$71,0)))</f>
        <v>23365799</v>
      </c>
      <c r="J7" s="80">
        <f>IF(ISERROR(VLOOKUP(MONTH(J5),Inputs!$D$66:$D$71,1,0)),"",INDEX(Inputs!$B$66:$B$71,MATCH(MONTH(Output!J5),Inputs!$D$66:$D$71,0))-INDEX(Inputs!$C$66:$C$71,MATCH(MONTH(Output!J5),Inputs!$D$66:$D$71,0)))</f>
        <v>26733</v>
      </c>
      <c r="K7" s="80">
        <f>IF(ISERROR(VLOOKUP(MONTH(K5),Inputs!$D$66:$D$71,1,0)),"",INDEX(Inputs!$B$66:$B$71,MATCH(MONTH(Output!K5),Inputs!$D$66:$D$71,0))-INDEX(Inputs!$C$66:$C$71,MATCH(MONTH(Output!K5),Inputs!$D$66:$D$71,0)))</f>
        <v>-26983</v>
      </c>
      <c r="L7" s="80">
        <f>IF(ISERROR(VLOOKUP(MONTH(L5),Inputs!$D$66:$D$71,1,0)),"",INDEX(Inputs!$B$66:$B$71,MATCH(MONTH(Output!L5),Inputs!$D$66:$D$71,0))-INDEX(Inputs!$C$66:$C$71,MATCH(MONTH(Output!L5),Inputs!$D$66:$D$71,0)))</f>
        <v>-14845971</v>
      </c>
      <c r="M7" s="80">
        <f>IF(ISERROR(VLOOKUP(MONTH(M5),Inputs!$D$66:$D$71,1,0)),"",INDEX(Inputs!$B$66:$B$71,MATCH(MONTH(Output!M5),Inputs!$D$66:$D$71,0))-INDEX(Inputs!$C$66:$C$71,MATCH(MONTH(Output!M5),Inputs!$D$66:$D$71,0)))</f>
        <v>18354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-32856</v>
      </c>
      <c r="U7" s="80">
        <f>IF(ISERROR(VLOOKUP(MONTH(U5),Inputs!$D$66:$D$71,1,0)),"",INDEX(Inputs!$B$66:$B$71,MATCH(MONTH(Output!U5),Inputs!$D$66:$D$71,0))-INDEX(Inputs!$C$66:$C$71,MATCH(MONTH(Output!U5),Inputs!$D$66:$D$71,0)))</f>
        <v>23365799</v>
      </c>
      <c r="V7" s="80">
        <f>IF(ISERROR(VLOOKUP(MONTH(V5),Inputs!$D$66:$D$71,1,0)),"",INDEX(Inputs!$B$66:$B$71,MATCH(MONTH(Output!V5),Inputs!$D$66:$D$71,0))-INDEX(Inputs!$C$66:$C$71,MATCH(MONTH(Output!V5),Inputs!$D$66:$D$71,0)))</f>
        <v>26733</v>
      </c>
      <c r="W7" s="80">
        <f>IF(ISERROR(VLOOKUP(MONTH(W5),Inputs!$D$66:$D$71,1,0)),"",INDEX(Inputs!$B$66:$B$71,MATCH(MONTH(Output!W5),Inputs!$D$66:$D$71,0))-INDEX(Inputs!$C$66:$C$71,MATCH(MONTH(Output!W5),Inputs!$D$66:$D$71,0)))</f>
        <v>-26983</v>
      </c>
      <c r="X7" s="80">
        <f>IF(ISERROR(VLOOKUP(MONTH(X5),Inputs!$D$66:$D$71,1,0)),"",INDEX(Inputs!$B$66:$B$71,MATCH(MONTH(Output!X5),Inputs!$D$66:$D$71,0))-INDEX(Inputs!$C$66:$C$71,MATCH(MONTH(Output!X5),Inputs!$D$66:$D$71,0)))</f>
        <v>-14845971</v>
      </c>
      <c r="Y7" s="80">
        <f>IF(ISERROR(VLOOKUP(MONTH(Y5),Inputs!$D$66:$D$71,1,0)),"",INDEX(Inputs!$B$66:$B$71,MATCH(MONTH(Output!Y5),Inputs!$D$66:$D$71,0))-INDEX(Inputs!$C$66:$C$71,MATCH(MONTH(Output!Y5),Inputs!$D$66:$D$71,0)))</f>
        <v>18354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65330.58882783889</v>
      </c>
      <c r="C11" s="80">
        <f>C6+C9-C10</f>
        <v>-260749.4111721611</v>
      </c>
      <c r="D11" s="80">
        <f>D6+D9-D10</f>
        <v>-260317.4111721611</v>
      </c>
      <c r="E11" s="80">
        <f>E6+E9-E10</f>
        <v>-273749.4111721611</v>
      </c>
      <c r="F11" s="80">
        <f>F6+F9-F10</f>
        <v>-264669.4111721611</v>
      </c>
      <c r="G11" s="80">
        <f>G6+G9-G10</f>
        <v>-264669.4111721611</v>
      </c>
      <c r="H11" s="80">
        <f>H6+H9-H10</f>
        <v>-264669.4111721611</v>
      </c>
      <c r="I11" s="80">
        <f>I6+I9-I10</f>
        <v>-260749.4111721611</v>
      </c>
      <c r="J11" s="80">
        <f>J6+J9-J10</f>
        <v>-260317.4111721611</v>
      </c>
      <c r="K11" s="80">
        <f>K6+K9-K10</f>
        <v>-273749.4111721611</v>
      </c>
      <c r="L11" s="80">
        <f>L6+L9-L10</f>
        <v>-264669.4111721611</v>
      </c>
      <c r="M11" s="80">
        <f>M6+M9-M10</f>
        <v>-264669.4111721611</v>
      </c>
      <c r="N11" s="80">
        <f>N6+N9-N10</f>
        <v>-264669.4111721611</v>
      </c>
      <c r="O11" s="80">
        <f>O6+O9-O10</f>
        <v>-230749.4111721611</v>
      </c>
      <c r="P11" s="80">
        <f>P6+P9-P10</f>
        <v>-230317.4111721611</v>
      </c>
      <c r="Q11" s="80">
        <f>Q6+Q9-Q10</f>
        <v>-243749.4111721611</v>
      </c>
      <c r="R11" s="80">
        <f>R6+R9-R10</f>
        <v>-234669.4111721611</v>
      </c>
      <c r="S11" s="80">
        <f>S6+S9-S10</f>
        <v>-234669.4111721611</v>
      </c>
      <c r="T11" s="80">
        <f>T6+T9-T10</f>
        <v>-234669.4111721611</v>
      </c>
      <c r="U11" s="80">
        <f>U6+U9-U10</f>
        <v>-230749.4111721611</v>
      </c>
      <c r="V11" s="80">
        <f>V6+V9-V10</f>
        <v>-230317.4111721611</v>
      </c>
      <c r="W11" s="80">
        <f>W6+W9-W10</f>
        <v>-243749.4111721611</v>
      </c>
      <c r="X11" s="80">
        <f>X6+X9-X10</f>
        <v>-234669.4111721611</v>
      </c>
      <c r="Y11" s="80">
        <f>Y6+Y9-Y10</f>
        <v>-234669.4111721611</v>
      </c>
      <c r="Z11" s="85">
        <f>SUMIF($B$13:$Y$13,"Yes",B11:Y11)</f>
        <v>-3112318.345238094</v>
      </c>
      <c r="AA11" s="80">
        <f>SUM(B11:M11)</f>
        <v>-2847648.934065933</v>
      </c>
      <c r="AB11" s="46">
        <f>SUM(B11:Y11)</f>
        <v>-5695297.868131864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3920</v>
      </c>
      <c r="D19" s="36">
        <f>P19</f>
        <v>3920</v>
      </c>
      <c r="E19" s="36">
        <f>Q19</f>
        <v>3920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3920</v>
      </c>
      <c r="J19" s="36">
        <f>V19</f>
        <v>3920</v>
      </c>
      <c r="K19" s="36">
        <f>W19</f>
        <v>3920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3920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3920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3920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3920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3920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3920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23520</v>
      </c>
      <c r="AA19" s="36">
        <f>SUM(B19:M19)</f>
        <v>23520</v>
      </c>
      <c r="AB19" s="36">
        <f>SUM(B19:Y19)</f>
        <v>47040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61400.00000000002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5110</v>
      </c>
      <c r="C24" s="36">
        <f>IFERROR(Calculations!$P14/12,"")</f>
        <v>5110</v>
      </c>
      <c r="D24" s="36">
        <f>IFERROR(Calculations!$P14/12,"")</f>
        <v>5110</v>
      </c>
      <c r="E24" s="36">
        <f>IFERROR(Calculations!$P14/12,"")</f>
        <v>5110</v>
      </c>
      <c r="F24" s="36">
        <f>IFERROR(Calculations!$P14/12,"")</f>
        <v>5110</v>
      </c>
      <c r="G24" s="36">
        <f>IFERROR(Calculations!$P14/12,"")</f>
        <v>5110</v>
      </c>
      <c r="H24" s="36">
        <f>IFERROR(Calculations!$P14/12,"")</f>
        <v>5110</v>
      </c>
      <c r="I24" s="36">
        <f>IFERROR(Calculations!$P14/12,"")</f>
        <v>5110</v>
      </c>
      <c r="J24" s="36">
        <f>IFERROR(Calculations!$P14/12,"")</f>
        <v>5110</v>
      </c>
      <c r="K24" s="36">
        <f>IFERROR(Calculations!$P14/12,"")</f>
        <v>5110</v>
      </c>
      <c r="L24" s="36">
        <f>IFERROR(Calculations!$P14/12,"")</f>
        <v>5110</v>
      </c>
      <c r="M24" s="36">
        <f>IFERROR(Calculations!$P14/12,"")</f>
        <v>5110</v>
      </c>
      <c r="N24" s="36">
        <f>IFERROR(Calculations!$P14/12,"")</f>
        <v>5110</v>
      </c>
      <c r="O24" s="36">
        <f>IFERROR(Calculations!$P14/12,"")</f>
        <v>5110</v>
      </c>
      <c r="P24" s="36">
        <f>IFERROR(Calculations!$P14/12,"")</f>
        <v>5110</v>
      </c>
      <c r="Q24" s="36">
        <f>IFERROR(Calculations!$P14/12,"")</f>
        <v>5110</v>
      </c>
      <c r="R24" s="36">
        <f>IFERROR(Calculations!$P14/12,"")</f>
        <v>5110</v>
      </c>
      <c r="S24" s="36">
        <f>IFERROR(Calculations!$P14/12,"")</f>
        <v>5110</v>
      </c>
      <c r="T24" s="36">
        <f>IFERROR(Calculations!$P14/12,"")</f>
        <v>5110</v>
      </c>
      <c r="U24" s="36">
        <f>IFERROR(Calculations!$P14/12,"")</f>
        <v>5110</v>
      </c>
      <c r="V24" s="36">
        <f>IFERROR(Calculations!$P14/12,"")</f>
        <v>5110</v>
      </c>
      <c r="W24" s="36">
        <f>IFERROR(Calculations!$P14/12,"")</f>
        <v>5110</v>
      </c>
      <c r="X24" s="36">
        <f>IFERROR(Calculations!$P14/12,"")</f>
        <v>5110</v>
      </c>
      <c r="Y24" s="36">
        <f>IFERROR(Calculations!$P14/12,"")</f>
        <v>5110</v>
      </c>
      <c r="Z24" s="36">
        <f>SUMIF($B$13:$Y$13,"Yes",B24:Y24)</f>
        <v>66430</v>
      </c>
      <c r="AA24" s="36">
        <f>SUM(B24:M24)</f>
        <v>61320</v>
      </c>
      <c r="AB24" s="46">
        <f>SUM(B24:Y24)</f>
        <v>122640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638.8888888888889</v>
      </c>
      <c r="C25" s="36">
        <f>IFERROR(Calculations!$P15/12,"")</f>
        <v>638.8888888888889</v>
      </c>
      <c r="D25" s="36">
        <f>IFERROR(Calculations!$P15/12,"")</f>
        <v>638.8888888888889</v>
      </c>
      <c r="E25" s="36">
        <f>IFERROR(Calculations!$P15/12,"")</f>
        <v>638.8888888888889</v>
      </c>
      <c r="F25" s="36">
        <f>IFERROR(Calculations!$P15/12,"")</f>
        <v>638.8888888888889</v>
      </c>
      <c r="G25" s="36">
        <f>IFERROR(Calculations!$P15/12,"")</f>
        <v>638.8888888888889</v>
      </c>
      <c r="H25" s="36">
        <f>IFERROR(Calculations!$P15/12,"")</f>
        <v>638.8888888888889</v>
      </c>
      <c r="I25" s="36">
        <f>IFERROR(Calculations!$P15/12,"")</f>
        <v>638.8888888888889</v>
      </c>
      <c r="J25" s="36">
        <f>IFERROR(Calculations!$P15/12,"")</f>
        <v>638.8888888888889</v>
      </c>
      <c r="K25" s="36">
        <f>IFERROR(Calculations!$P15/12,"")</f>
        <v>638.8888888888889</v>
      </c>
      <c r="L25" s="36">
        <f>IFERROR(Calculations!$P15/12,"")</f>
        <v>638.8888888888889</v>
      </c>
      <c r="M25" s="36">
        <f>IFERROR(Calculations!$P15/12,"")</f>
        <v>638.8888888888889</v>
      </c>
      <c r="N25" s="36">
        <f>IFERROR(Calculations!$P15/12,"")</f>
        <v>638.8888888888889</v>
      </c>
      <c r="O25" s="36">
        <f>IFERROR(Calculations!$P15/12,"")</f>
        <v>638.8888888888889</v>
      </c>
      <c r="P25" s="36">
        <f>IFERROR(Calculations!$P15/12,"")</f>
        <v>638.8888888888889</v>
      </c>
      <c r="Q25" s="36">
        <f>IFERROR(Calculations!$P15/12,"")</f>
        <v>638.8888888888889</v>
      </c>
      <c r="R25" s="36">
        <f>IFERROR(Calculations!$P15/12,"")</f>
        <v>638.8888888888889</v>
      </c>
      <c r="S25" s="36">
        <f>IFERROR(Calculations!$P15/12,"")</f>
        <v>638.8888888888889</v>
      </c>
      <c r="T25" s="36">
        <f>IFERROR(Calculations!$P15/12,"")</f>
        <v>638.8888888888889</v>
      </c>
      <c r="U25" s="36">
        <f>IFERROR(Calculations!$P15/12,"")</f>
        <v>638.8888888888889</v>
      </c>
      <c r="V25" s="36">
        <f>IFERROR(Calculations!$P15/12,"")</f>
        <v>638.8888888888889</v>
      </c>
      <c r="W25" s="36">
        <f>IFERROR(Calculations!$P15/12,"")</f>
        <v>638.8888888888889</v>
      </c>
      <c r="X25" s="36">
        <f>IFERROR(Calculations!$P15/12,"")</f>
        <v>638.8888888888889</v>
      </c>
      <c r="Y25" s="36">
        <f>IFERROR(Calculations!$P15/12,"")</f>
        <v>638.8888888888889</v>
      </c>
      <c r="Z25" s="36">
        <f>SUMIF($B$13:$Y$13,"Yes",B25:Y25)</f>
        <v>8305.555555555555</v>
      </c>
      <c r="AA25" s="36">
        <f>SUM(B25:M25)</f>
        <v>7666.666666666665</v>
      </c>
      <c r="AB25" s="46">
        <f>SUM(B25:Y25)</f>
        <v>15333.33333333333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2600000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205748.8888888889</v>
      </c>
      <c r="C30" s="19">
        <f>SUM(C18:C29)</f>
        <v>209668.8888888889</v>
      </c>
      <c r="D30" s="19">
        <f>SUM(D18:D29)</f>
        <v>209668.8888888889</v>
      </c>
      <c r="E30" s="19">
        <f>SUM(E18:E29)</f>
        <v>209668.8888888889</v>
      </c>
      <c r="F30" s="19">
        <f>SUM(F18:F29)</f>
        <v>205748.8888888889</v>
      </c>
      <c r="G30" s="19">
        <f>SUM(G18:G29)</f>
        <v>205748.8888888889</v>
      </c>
      <c r="H30" s="19">
        <f>SUM(H18:H29)</f>
        <v>205748.8888888889</v>
      </c>
      <c r="I30" s="19">
        <f>SUM(I18:I29)</f>
        <v>209668.8888888889</v>
      </c>
      <c r="J30" s="19">
        <f>SUM(J18:J29)</f>
        <v>209668.8888888889</v>
      </c>
      <c r="K30" s="19">
        <f>SUM(K18:K29)</f>
        <v>209668.8888888889</v>
      </c>
      <c r="L30" s="19">
        <f>SUM(L18:L29)</f>
        <v>205748.8888888889</v>
      </c>
      <c r="M30" s="19">
        <f>SUM(M18:M29)</f>
        <v>205748.8888888889</v>
      </c>
      <c r="N30" s="19">
        <f>SUM(N18:N29)</f>
        <v>205748.8888888889</v>
      </c>
      <c r="O30" s="19">
        <f>SUM(O18:O29)</f>
        <v>209668.8888888889</v>
      </c>
      <c r="P30" s="19">
        <f>SUM(P18:P29)</f>
        <v>209668.8888888889</v>
      </c>
      <c r="Q30" s="19">
        <f>SUM(Q18:Q29)</f>
        <v>209668.8888888889</v>
      </c>
      <c r="R30" s="19">
        <f>SUM(R18:R29)</f>
        <v>205748.8888888889</v>
      </c>
      <c r="S30" s="19">
        <f>SUM(S18:S29)</f>
        <v>205748.8888888889</v>
      </c>
      <c r="T30" s="19">
        <f>SUM(T18:T29)</f>
        <v>205748.8888888889</v>
      </c>
      <c r="U30" s="19">
        <f>SUM(U18:U29)</f>
        <v>209668.8888888889</v>
      </c>
      <c r="V30" s="19">
        <f>SUM(V18:V29)</f>
        <v>209668.8888888889</v>
      </c>
      <c r="W30" s="19">
        <f>SUM(W18:W29)</f>
        <v>209668.8888888889</v>
      </c>
      <c r="X30" s="19">
        <f>SUM(X18:X29)</f>
        <v>205748.8888888889</v>
      </c>
      <c r="Y30" s="19">
        <f>SUM(Y18:Y29)</f>
        <v>205748.8888888889</v>
      </c>
      <c r="Z30" s="19">
        <f>SUMIF($B$13:$Y$13,"Yes",B30:Y30)</f>
        <v>2698255.555555556</v>
      </c>
      <c r="AA30" s="19">
        <f>SUM(B30:M30)</f>
        <v>2492506.666666667</v>
      </c>
      <c r="AB30" s="19">
        <f>SUM(B30:Y30)</f>
        <v>4985013.333333335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83.33333333333333</v>
      </c>
      <c r="C36" s="36">
        <f>O36</f>
        <v>83.33333333333333</v>
      </c>
      <c r="D36" s="36">
        <f>P36</f>
        <v>83.33333333333333</v>
      </c>
      <c r="E36" s="36">
        <f>Q36</f>
        <v>1083.333333333333</v>
      </c>
      <c r="F36" s="36">
        <f>R36</f>
        <v>83.33333333333333</v>
      </c>
      <c r="G36" s="36">
        <f>S36</f>
        <v>83.33333333333333</v>
      </c>
      <c r="H36" s="36">
        <f>T36</f>
        <v>83.33333333333333</v>
      </c>
      <c r="I36" s="36">
        <f>U36</f>
        <v>83.33333333333333</v>
      </c>
      <c r="J36" s="36">
        <f>V36</f>
        <v>83.33333333333333</v>
      </c>
      <c r="K36" s="36">
        <f>W36</f>
        <v>1083.333333333333</v>
      </c>
      <c r="L36" s="36">
        <f>X36</f>
        <v>83.33333333333333</v>
      </c>
      <c r="M36" s="36">
        <f>Y36</f>
        <v>83.33333333333333</v>
      </c>
      <c r="N36" s="36">
        <f>SUM(N37:N41)</f>
        <v>83.33333333333333</v>
      </c>
      <c r="O36" s="36">
        <f>SUM(O37:O41)</f>
        <v>83.33333333333333</v>
      </c>
      <c r="P36" s="36">
        <f>SUM(P37:P41)</f>
        <v>83.33333333333333</v>
      </c>
      <c r="Q36" s="36">
        <f>SUM(Q37:Q41)</f>
        <v>1083.333333333333</v>
      </c>
      <c r="R36" s="36">
        <f>SUM(R37:R41)</f>
        <v>83.33333333333333</v>
      </c>
      <c r="S36" s="36">
        <f>SUM(S37:S41)</f>
        <v>83.33333333333333</v>
      </c>
      <c r="T36" s="36">
        <f>SUM(T37:T41)</f>
        <v>83.33333333333333</v>
      </c>
      <c r="U36" s="36">
        <f>SUM(U37:U41)</f>
        <v>83.33333333333333</v>
      </c>
      <c r="V36" s="36">
        <f>SUM(V37:V41)</f>
        <v>83.33333333333333</v>
      </c>
      <c r="W36" s="36">
        <f>SUM(W37:W41)</f>
        <v>1083.333333333333</v>
      </c>
      <c r="X36" s="36">
        <f>SUM(X37:X41)</f>
        <v>83.33333333333333</v>
      </c>
      <c r="Y36" s="36">
        <f>SUM(Y37:Y41)</f>
        <v>83.33333333333333</v>
      </c>
      <c r="Z36" s="36">
        <f>SUMIF($B$13:$Y$13,"Yes",B36:Y36)</f>
        <v>3083.333333333333</v>
      </c>
      <c r="AA36" s="36">
        <f>SUM(B36:M36)</f>
        <v>3000</v>
      </c>
      <c r="AB36" s="36">
        <f>SUM(B36:Y36)</f>
        <v>5999.999999999998</v>
      </c>
      <c r="AC36" s="73"/>
    </row>
    <row r="37" spans="1:30" hidden="true" outlineLevel="1">
      <c r="A37" s="181" t="str">
        <f>Calculations!$A$4</f>
        <v>Bananas</v>
      </c>
      <c r="B37" s="36">
        <f>N37</f>
        <v>83.33333333333333</v>
      </c>
      <c r="C37" s="36">
        <f>O37</f>
        <v>83.33333333333333</v>
      </c>
      <c r="D37" s="36">
        <f>P37</f>
        <v>83.33333333333333</v>
      </c>
      <c r="E37" s="36">
        <f>Q37</f>
        <v>83.33333333333333</v>
      </c>
      <c r="F37" s="36">
        <f>R37</f>
        <v>83.33333333333333</v>
      </c>
      <c r="G37" s="36">
        <f>S37</f>
        <v>83.33333333333333</v>
      </c>
      <c r="H37" s="36">
        <f>T37</f>
        <v>83.33333333333333</v>
      </c>
      <c r="I37" s="36">
        <f>U37</f>
        <v>83.33333333333333</v>
      </c>
      <c r="J37" s="36">
        <f>V37</f>
        <v>83.33333333333333</v>
      </c>
      <c r="K37" s="36">
        <f>W37</f>
        <v>83.33333333333333</v>
      </c>
      <c r="L37" s="36">
        <f>X37</f>
        <v>83.33333333333333</v>
      </c>
      <c r="M37" s="36">
        <f>Y37</f>
        <v>83.33333333333333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83.33333333333333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83.33333333333333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83.33333333333333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83.33333333333333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83.33333333333333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83.33333333333333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83.33333333333333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83.33333333333333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83.33333333333333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83.33333333333333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83.33333333333333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83.33333333333333</v>
      </c>
      <c r="Z37" s="36">
        <f>SUMIF($B$13:$Y$13,"Yes",B37:Y37)</f>
        <v>1083.333333333333</v>
      </c>
      <c r="AA37" s="36">
        <f>SUM(B37:M37)</f>
        <v>1000</v>
      </c>
      <c r="AB37" s="36">
        <f>SUM(B37:Y37)</f>
        <v>1999.999999999999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1000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1000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12000</v>
      </c>
      <c r="X42" s="36">
        <f>SUM(X43:X47)</f>
        <v>0</v>
      </c>
      <c r="Y42" s="36">
        <f>SUM(Y43:Y47)</f>
        <v>0</v>
      </c>
      <c r="Z42" s="36">
        <f>SUMIF($B$13:$Y$13,"Yes",B42:Y42)</f>
        <v>24000</v>
      </c>
      <c r="AA42" s="36">
        <f>SUM(B42:M42)</f>
        <v>24000</v>
      </c>
      <c r="AB42" s="36">
        <f>SUM(B42:Y42)</f>
        <v>48000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12000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12000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12000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12000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24000</v>
      </c>
      <c r="AA44" s="36">
        <f>SUM(B44:M44)</f>
        <v>24000</v>
      </c>
      <c r="AB44" s="36">
        <f>SUM(B44:Y44)</f>
        <v>48000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619.5</v>
      </c>
      <c r="C66" s="36">
        <f>O66</f>
        <v>619.5</v>
      </c>
      <c r="D66" s="36">
        <f>P66</f>
        <v>187.5</v>
      </c>
      <c r="E66" s="36">
        <f>Q66</f>
        <v>619.5</v>
      </c>
      <c r="F66" s="36">
        <f>R66</f>
        <v>619.5</v>
      </c>
      <c r="G66" s="36">
        <f>S66</f>
        <v>619.5</v>
      </c>
      <c r="H66" s="36">
        <f>T66</f>
        <v>619.5</v>
      </c>
      <c r="I66" s="36">
        <f>U66</f>
        <v>619.5</v>
      </c>
      <c r="J66" s="36">
        <f>V66</f>
        <v>187.5</v>
      </c>
      <c r="K66" s="36">
        <f>W66</f>
        <v>619.5</v>
      </c>
      <c r="L66" s="36">
        <f>X66</f>
        <v>619.5</v>
      </c>
      <c r="M66" s="36">
        <f>Y66</f>
        <v>619.5</v>
      </c>
      <c r="N66" s="46">
        <f>SUM(N67:N71)</f>
        <v>619.5</v>
      </c>
      <c r="O66" s="46">
        <f>SUM(O67:O71)</f>
        <v>619.5</v>
      </c>
      <c r="P66" s="46">
        <f>SUM(P67:P71)</f>
        <v>187.5</v>
      </c>
      <c r="Q66" s="46">
        <f>SUM(Q67:Q71)</f>
        <v>619.5</v>
      </c>
      <c r="R66" s="46">
        <f>SUM(R67:R71)</f>
        <v>619.5</v>
      </c>
      <c r="S66" s="46">
        <f>SUM(S67:S71)</f>
        <v>619.5</v>
      </c>
      <c r="T66" s="46">
        <f>SUM(T67:T71)</f>
        <v>619.5</v>
      </c>
      <c r="U66" s="46">
        <f>SUM(U67:U71)</f>
        <v>619.5</v>
      </c>
      <c r="V66" s="46">
        <f>SUM(V67:V71)</f>
        <v>187.5</v>
      </c>
      <c r="W66" s="46">
        <f>SUM(W67:W71)</f>
        <v>619.5</v>
      </c>
      <c r="X66" s="46">
        <f>SUM(X67:X71)</f>
        <v>619.5</v>
      </c>
      <c r="Y66" s="46">
        <f>SUM(Y67:Y71)</f>
        <v>619.5</v>
      </c>
      <c r="Z66" s="46">
        <f>SUMIF($B$13:$Y$13,"Yes",B66:Y66)</f>
        <v>7189.5</v>
      </c>
      <c r="AA66" s="46">
        <f>SUM(B66:M66)</f>
        <v>6570</v>
      </c>
      <c r="AB66" s="46">
        <f>SUM(B66:Y66)</f>
        <v>13140</v>
      </c>
    </row>
    <row r="67" spans="1:30" hidden="true" outlineLevel="1">
      <c r="A67" s="181" t="str">
        <f>Calculations!$A$4</f>
        <v>Bananas</v>
      </c>
      <c r="B67" s="36">
        <f>N67</f>
        <v>187.5</v>
      </c>
      <c r="C67" s="36">
        <f>O67</f>
        <v>187.5</v>
      </c>
      <c r="D67" s="36">
        <f>P67</f>
        <v>187.5</v>
      </c>
      <c r="E67" s="36">
        <f>Q67</f>
        <v>187.5</v>
      </c>
      <c r="F67" s="36">
        <f>R67</f>
        <v>187.5</v>
      </c>
      <c r="G67" s="36">
        <f>S67</f>
        <v>187.5</v>
      </c>
      <c r="H67" s="36">
        <f>T67</f>
        <v>187.5</v>
      </c>
      <c r="I67" s="36">
        <f>U67</f>
        <v>187.5</v>
      </c>
      <c r="J67" s="36">
        <f>V67</f>
        <v>187.5</v>
      </c>
      <c r="K67" s="36">
        <f>W67</f>
        <v>187.5</v>
      </c>
      <c r="L67" s="36">
        <f>X67</f>
        <v>187.5</v>
      </c>
      <c r="M67" s="36">
        <f>Y67</f>
        <v>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187.5</v>
      </c>
      <c r="Z67" s="46">
        <f>SUMIF($B$13:$Y$13,"Yes",B67:Y67)</f>
        <v>2437.5</v>
      </c>
      <c r="AA67" s="46">
        <f>SUM(B67:M67)</f>
        <v>2250</v>
      </c>
      <c r="AB67" s="46">
        <f>SUM(B67:Y67)</f>
        <v>4500</v>
      </c>
    </row>
    <row r="68" spans="1:30" hidden="true" outlineLevel="1">
      <c r="A68" s="181" t="str">
        <f>Calculations!$A$5</f>
        <v>Potatoes</v>
      </c>
      <c r="B68" s="36">
        <f>N68</f>
        <v>432</v>
      </c>
      <c r="C68" s="36">
        <f>O68</f>
        <v>432</v>
      </c>
      <c r="D68" s="36">
        <f>P68</f>
        <v>0</v>
      </c>
      <c r="E68" s="36">
        <f>Q68</f>
        <v>432</v>
      </c>
      <c r="F68" s="36">
        <f>R68</f>
        <v>432</v>
      </c>
      <c r="G68" s="36">
        <f>S68</f>
        <v>432</v>
      </c>
      <c r="H68" s="36">
        <f>T68</f>
        <v>432</v>
      </c>
      <c r="I68" s="36">
        <f>U68</f>
        <v>432</v>
      </c>
      <c r="J68" s="36">
        <f>V68</f>
        <v>0</v>
      </c>
      <c r="K68" s="36">
        <f>W68</f>
        <v>432</v>
      </c>
      <c r="L68" s="36">
        <f>X68</f>
        <v>432</v>
      </c>
      <c r="M68" s="36">
        <f>Y68</f>
        <v>432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432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432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432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432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432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432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432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432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432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432</v>
      </c>
      <c r="Z68" s="46">
        <f>SUMIF($B$13:$Y$13,"Yes",B68:Y68)</f>
        <v>4752</v>
      </c>
      <c r="AA68" s="46">
        <f>SUM(B68:M68)</f>
        <v>4320</v>
      </c>
      <c r="AB68" s="46">
        <f>SUM(B68:Y68)</f>
        <v>8640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466.6666666666667</v>
      </c>
      <c r="C75" s="46">
        <f>SUM(Calculations!$R$14:$R$16)/12</f>
        <v>466.6666666666667</v>
      </c>
      <c r="D75" s="46">
        <f>SUM(Calculations!$R$14:$R$16)/12</f>
        <v>466.6666666666667</v>
      </c>
      <c r="E75" s="46">
        <f>SUM(Calculations!$R$14:$R$16)/12</f>
        <v>466.6666666666667</v>
      </c>
      <c r="F75" s="46">
        <f>SUM(Calculations!$R$14:$R$16)/12</f>
        <v>466.6666666666667</v>
      </c>
      <c r="G75" s="46">
        <f>SUM(Calculations!$R$14:$R$16)/12</f>
        <v>466.6666666666667</v>
      </c>
      <c r="H75" s="46">
        <f>SUM(Calculations!$R$14:$R$16)/12</f>
        <v>466.6666666666667</v>
      </c>
      <c r="I75" s="46">
        <f>SUM(Calculations!$R$14:$R$16)/12</f>
        <v>466.6666666666667</v>
      </c>
      <c r="J75" s="46">
        <f>SUM(Calculations!$R$14:$R$16)/12</f>
        <v>466.6666666666667</v>
      </c>
      <c r="K75" s="46">
        <f>SUM(Calculations!$R$14:$R$16)/12</f>
        <v>466.6666666666667</v>
      </c>
      <c r="L75" s="46">
        <f>SUM(Calculations!$R$14:$R$16)/12</f>
        <v>466.6666666666667</v>
      </c>
      <c r="M75" s="46">
        <f>SUM(Calculations!$R$14:$R$16)/12</f>
        <v>466.6666666666667</v>
      </c>
      <c r="N75" s="46">
        <f>SUM(Calculations!$R$14:$R$16)/12</f>
        <v>466.6666666666667</v>
      </c>
      <c r="O75" s="46">
        <f>SUM(Calculations!$R$14:$R$16)/12</f>
        <v>466.6666666666667</v>
      </c>
      <c r="P75" s="46">
        <f>SUM(Calculations!$R$14:$R$16)/12</f>
        <v>466.6666666666667</v>
      </c>
      <c r="Q75" s="46">
        <f>SUM(Calculations!$R$14:$R$16)/12</f>
        <v>466.6666666666667</v>
      </c>
      <c r="R75" s="46">
        <f>SUM(Calculations!$R$14:$R$16)/12</f>
        <v>466.6666666666667</v>
      </c>
      <c r="S75" s="46">
        <f>SUM(Calculations!$R$14:$R$16)/12</f>
        <v>466.6666666666667</v>
      </c>
      <c r="T75" s="46">
        <f>SUM(Calculations!$R$14:$R$16)/12</f>
        <v>466.6666666666667</v>
      </c>
      <c r="U75" s="46">
        <f>SUM(Calculations!$R$14:$R$16)/12</f>
        <v>466.6666666666667</v>
      </c>
      <c r="V75" s="46">
        <f>SUM(Calculations!$R$14:$R$16)/12</f>
        <v>466.6666666666667</v>
      </c>
      <c r="W75" s="46">
        <f>SUM(Calculations!$R$14:$R$16)/12</f>
        <v>466.6666666666667</v>
      </c>
      <c r="X75" s="46">
        <f>SUM(Calculations!$R$14:$R$16)/12</f>
        <v>466.6666666666667</v>
      </c>
      <c r="Y75" s="46">
        <f>SUM(Calculations!$R$14:$R$16)/12</f>
        <v>466.6666666666667</v>
      </c>
      <c r="Z75" s="46">
        <f>SUMIF($B$13:$Y$13,"Yes",B75:Y75)</f>
        <v>6066.666666666668</v>
      </c>
      <c r="AA75" s="46">
        <f>SUM(B75:M75)</f>
        <v>5600.000000000001</v>
      </c>
      <c r="AB75" s="46">
        <f>SUM(B75:Y75)</f>
        <v>11200</v>
      </c>
    </row>
    <row r="76" spans="1:30">
      <c r="A76" s="16" t="s">
        <v>48</v>
      </c>
      <c r="B76" s="46">
        <f>SUM(Calculations!$S$14:$S$16)/12</f>
        <v>2558.333333333333</v>
      </c>
      <c r="C76" s="46">
        <f>SUM(Calculations!$S$14:$S$16)/12</f>
        <v>2558.333333333333</v>
      </c>
      <c r="D76" s="46">
        <f>SUM(Calculations!$S$14:$S$16)/12</f>
        <v>2558.333333333333</v>
      </c>
      <c r="E76" s="46">
        <f>SUM(Calculations!$S$14:$S$16)/12</f>
        <v>2558.333333333333</v>
      </c>
      <c r="F76" s="46">
        <f>SUM(Calculations!$S$14:$S$16)/12</f>
        <v>2558.333333333333</v>
      </c>
      <c r="G76" s="46">
        <f>SUM(Calculations!$S$14:$S$16)/12</f>
        <v>2558.333333333333</v>
      </c>
      <c r="H76" s="46">
        <f>SUM(Calculations!$S$14:$S$16)/12</f>
        <v>2558.333333333333</v>
      </c>
      <c r="I76" s="46">
        <f>SUM(Calculations!$S$14:$S$16)/12</f>
        <v>2558.333333333333</v>
      </c>
      <c r="J76" s="46">
        <f>SUM(Calculations!$S$14:$S$16)/12</f>
        <v>2558.333333333333</v>
      </c>
      <c r="K76" s="46">
        <f>SUM(Calculations!$S$14:$S$16)/12</f>
        <v>2558.333333333333</v>
      </c>
      <c r="L76" s="46">
        <f>SUM(Calculations!$S$14:$S$16)/12</f>
        <v>2558.333333333333</v>
      </c>
      <c r="M76" s="46">
        <f>SUM(Calculations!$S$14:$S$16)/12</f>
        <v>2558.333333333333</v>
      </c>
      <c r="N76" s="46">
        <f>SUM(Calculations!$S$14:$S$16)/12</f>
        <v>2558.333333333333</v>
      </c>
      <c r="O76" s="46">
        <f>SUM(Calculations!$S$14:$S$16)/12</f>
        <v>2558.333333333333</v>
      </c>
      <c r="P76" s="46">
        <f>SUM(Calculations!$S$14:$S$16)/12</f>
        <v>2558.333333333333</v>
      </c>
      <c r="Q76" s="46">
        <f>SUM(Calculations!$S$14:$S$16)/12</f>
        <v>2558.333333333333</v>
      </c>
      <c r="R76" s="46">
        <f>SUM(Calculations!$S$14:$S$16)/12</f>
        <v>2558.333333333333</v>
      </c>
      <c r="S76" s="46">
        <f>SUM(Calculations!$S$14:$S$16)/12</f>
        <v>2558.333333333333</v>
      </c>
      <c r="T76" s="46">
        <f>SUM(Calculations!$S$14:$S$16)/12</f>
        <v>2558.333333333333</v>
      </c>
      <c r="U76" s="46">
        <f>SUM(Calculations!$S$14:$S$16)/12</f>
        <v>2558.333333333333</v>
      </c>
      <c r="V76" s="46">
        <f>SUM(Calculations!$S$14:$S$16)/12</f>
        <v>2558.333333333333</v>
      </c>
      <c r="W76" s="46">
        <f>SUM(Calculations!$S$14:$S$16)/12</f>
        <v>2558.333333333333</v>
      </c>
      <c r="X76" s="46">
        <f>SUM(Calculations!$S$14:$S$16)/12</f>
        <v>2558.333333333333</v>
      </c>
      <c r="Y76" s="46">
        <f>SUM(Calculations!$S$14:$S$16)/12</f>
        <v>2558.333333333333</v>
      </c>
      <c r="Z76" s="46">
        <f>SUMIF($B$13:$Y$13,"Yes",B76:Y76)</f>
        <v>33258.33333333333</v>
      </c>
      <c r="AA76" s="46">
        <f>SUM(B76:M76)</f>
        <v>30700</v>
      </c>
      <c r="AB76" s="46">
        <f>SUM(B76:Y76)</f>
        <v>61400.00000000002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400000</v>
      </c>
      <c r="C79" s="46">
        <f>Inputs!$B$31</f>
        <v>400000</v>
      </c>
      <c r="D79" s="46">
        <f>Inputs!$B$31</f>
        <v>400000</v>
      </c>
      <c r="E79" s="46">
        <f>Inputs!$B$31</f>
        <v>400000</v>
      </c>
      <c r="F79" s="46">
        <f>Inputs!$B$31</f>
        <v>400000</v>
      </c>
      <c r="G79" s="46">
        <f>Inputs!$B$31</f>
        <v>400000</v>
      </c>
      <c r="H79" s="46">
        <f>Inputs!$B$31</f>
        <v>400000</v>
      </c>
      <c r="I79" s="46">
        <f>Inputs!$B$31</f>
        <v>400000</v>
      </c>
      <c r="J79" s="46">
        <f>Inputs!$B$31</f>
        <v>400000</v>
      </c>
      <c r="K79" s="46">
        <f>Inputs!$B$31</f>
        <v>400000</v>
      </c>
      <c r="L79" s="46">
        <f>Inputs!$B$31</f>
        <v>400000</v>
      </c>
      <c r="M79" s="46">
        <f>Inputs!$B$31</f>
        <v>400000</v>
      </c>
      <c r="N79" s="46">
        <f>Inputs!$B$31</f>
        <v>400000</v>
      </c>
      <c r="O79" s="46">
        <f>Inputs!$B$31</f>
        <v>400000</v>
      </c>
      <c r="P79" s="46">
        <f>Inputs!$B$31</f>
        <v>400000</v>
      </c>
      <c r="Q79" s="46">
        <f>Inputs!$B$31</f>
        <v>400000</v>
      </c>
      <c r="R79" s="46">
        <f>Inputs!$B$31</f>
        <v>400000</v>
      </c>
      <c r="S79" s="46">
        <f>Inputs!$B$31</f>
        <v>400000</v>
      </c>
      <c r="T79" s="46">
        <f>Inputs!$B$31</f>
        <v>400000</v>
      </c>
      <c r="U79" s="46">
        <f>Inputs!$B$31</f>
        <v>400000</v>
      </c>
      <c r="V79" s="46">
        <f>Inputs!$B$31</f>
        <v>400000</v>
      </c>
      <c r="W79" s="46">
        <f>Inputs!$B$31</f>
        <v>400000</v>
      </c>
      <c r="X79" s="46">
        <f>Inputs!$B$31</f>
        <v>400000</v>
      </c>
      <c r="Y79" s="46">
        <f>Inputs!$B$31</f>
        <v>400000</v>
      </c>
      <c r="Z79" s="46">
        <f>SUMIF($B$13:$Y$13,"Yes",B79:Y79)</f>
        <v>5200000</v>
      </c>
      <c r="AA79" s="46">
        <f>SUM(B79:M79)</f>
        <v>4800000</v>
      </c>
      <c r="AB79" s="46">
        <f>SUM(B79:Y79)</f>
        <v>9600000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-80766.2777777778</v>
      </c>
      <c r="C81" s="46">
        <f>(SUM($AA$18:$AA$29)-SUM($AA$36,$AA$42,$AA$48,$AA$54,$AA$60,$AA$66,$AA$72:$AA$79))*Parameters!$B$37/12</f>
        <v>-80766.2777777778</v>
      </c>
      <c r="D81" s="46">
        <f>(SUM($AA$18:$AA$29)-SUM($AA$36,$AA$42,$AA$48,$AA$54,$AA$60,$AA$66,$AA$72:$AA$79))*Parameters!$B$37/12</f>
        <v>-80766.2777777778</v>
      </c>
      <c r="E81" s="46">
        <f>(SUM($AA$18:$AA$29)-SUM($AA$36,$AA$42,$AA$48,$AA$54,$AA$60,$AA$66,$AA$72:$AA$79))*Parameters!$B$37/12</f>
        <v>-80766.2777777778</v>
      </c>
      <c r="F81" s="46">
        <f>(SUM($AA$18:$AA$29)-SUM($AA$36,$AA$42,$AA$48,$AA$54,$AA$60,$AA$66,$AA$72:$AA$79))*Parameters!$B$37/12</f>
        <v>-80766.2777777778</v>
      </c>
      <c r="G81" s="46">
        <f>(SUM($AA$18:$AA$29)-SUM($AA$36,$AA$42,$AA$48,$AA$54,$AA$60,$AA$66,$AA$72:$AA$79))*Parameters!$B$37/12</f>
        <v>-80766.2777777778</v>
      </c>
      <c r="H81" s="46">
        <f>(SUM($AA$18:$AA$29)-SUM($AA$36,$AA$42,$AA$48,$AA$54,$AA$60,$AA$66,$AA$72:$AA$79))*Parameters!$B$37/12</f>
        <v>-80766.2777777778</v>
      </c>
      <c r="I81" s="46">
        <f>(SUM($AA$18:$AA$29)-SUM($AA$36,$AA$42,$AA$48,$AA$54,$AA$60,$AA$66,$AA$72:$AA$79))*Parameters!$B$37/12</f>
        <v>-80766.2777777778</v>
      </c>
      <c r="J81" s="46">
        <f>(SUM($AA$18:$AA$29)-SUM($AA$36,$AA$42,$AA$48,$AA$54,$AA$60,$AA$66,$AA$72:$AA$79))*Parameters!$B$37/12</f>
        <v>-80766.2777777778</v>
      </c>
      <c r="K81" s="46">
        <f>(SUM($AA$18:$AA$29)-SUM($AA$36,$AA$42,$AA$48,$AA$54,$AA$60,$AA$66,$AA$72:$AA$79))*Parameters!$B$37/12</f>
        <v>-80766.2777777778</v>
      </c>
      <c r="L81" s="46">
        <f>(SUM($AA$18:$AA$29)-SUM($AA$36,$AA$42,$AA$48,$AA$54,$AA$60,$AA$66,$AA$72:$AA$79))*Parameters!$B$37/12</f>
        <v>-80766.2777777778</v>
      </c>
      <c r="M81" s="46">
        <f>(SUM($AA$18:$AA$29)-SUM($AA$36,$AA$42,$AA$48,$AA$54,$AA$60,$AA$66,$AA$72:$AA$79))*Parameters!$B$37/12</f>
        <v>-80766.2777777778</v>
      </c>
      <c r="N81" s="46">
        <f>(SUM($AA$18:$AA$29)-SUM($AA$36,$AA$42,$AA$48,$AA$54,$AA$60,$AA$66,$AA$72:$AA$79))*Parameters!$B$37/12</f>
        <v>-80766.2777777778</v>
      </c>
      <c r="O81" s="46">
        <f>(SUM($AA$18:$AA$29)-SUM($AA$36,$AA$42,$AA$48,$AA$54,$AA$60,$AA$66,$AA$72:$AA$79))*Parameters!$B$37/12</f>
        <v>-80766.2777777778</v>
      </c>
      <c r="P81" s="46">
        <f>(SUM($AA$18:$AA$29)-SUM($AA$36,$AA$42,$AA$48,$AA$54,$AA$60,$AA$66,$AA$72:$AA$79))*Parameters!$B$37/12</f>
        <v>-80766.2777777778</v>
      </c>
      <c r="Q81" s="46">
        <f>(SUM($AA$18:$AA$29)-SUM($AA$36,$AA$42,$AA$48,$AA$54,$AA$60,$AA$66,$AA$72:$AA$79))*Parameters!$B$37/12</f>
        <v>-80766.2777777778</v>
      </c>
      <c r="R81" s="46">
        <f>(SUM($AA$18:$AA$29)-SUM($AA$36,$AA$42,$AA$48,$AA$54,$AA$60,$AA$66,$AA$72:$AA$79))*Parameters!$B$37/12</f>
        <v>-80766.2777777778</v>
      </c>
      <c r="S81" s="46">
        <f>(SUM($AA$18:$AA$29)-SUM($AA$36,$AA$42,$AA$48,$AA$54,$AA$60,$AA$66,$AA$72:$AA$79))*Parameters!$B$37/12</f>
        <v>-80766.2777777778</v>
      </c>
      <c r="T81" s="46">
        <f>(SUM($AA$18:$AA$29)-SUM($AA$36,$AA$42,$AA$48,$AA$54,$AA$60,$AA$66,$AA$72:$AA$79))*Parameters!$B$37/12</f>
        <v>-80766.2777777778</v>
      </c>
      <c r="U81" s="46">
        <f>(SUM($AA$18:$AA$29)-SUM($AA$36,$AA$42,$AA$48,$AA$54,$AA$60,$AA$66,$AA$72:$AA$79))*Parameters!$B$37/12</f>
        <v>-80766.2777777778</v>
      </c>
      <c r="V81" s="46">
        <f>(SUM($AA$18:$AA$29)-SUM($AA$36,$AA$42,$AA$48,$AA$54,$AA$60,$AA$66,$AA$72:$AA$79))*Parameters!$B$37/12</f>
        <v>-80766.2777777778</v>
      </c>
      <c r="W81" s="46">
        <f>(SUM($AA$18:$AA$29)-SUM($AA$36,$AA$42,$AA$48,$AA$54,$AA$60,$AA$66,$AA$72:$AA$79))*Parameters!$B$37/12</f>
        <v>-80766.2777777778</v>
      </c>
      <c r="X81" s="46">
        <f>(SUM($AA$18:$AA$29)-SUM($AA$36,$AA$42,$AA$48,$AA$54,$AA$60,$AA$66,$AA$72:$AA$79))*Parameters!$B$37/12</f>
        <v>-80766.2777777778</v>
      </c>
      <c r="Y81" s="46">
        <f>(SUM($AA$18:$AA$29)-SUM($AA$36,$AA$42,$AA$48,$AA$54,$AA$60,$AA$66,$AA$72:$AA$79))*Parameters!$B$37/12</f>
        <v>-80766.2777777778</v>
      </c>
      <c r="Z81" s="46">
        <f>SUMIF($B$13:$Y$13,"Yes",B81:Y81)</f>
        <v>-1049961.611111111</v>
      </c>
      <c r="AA81" s="46">
        <f>SUM(B81:M81)</f>
        <v>-969195.3333333334</v>
      </c>
      <c r="AB81" s="46">
        <f>SUM(B81:Y81)</f>
        <v>-1938390.666666667</v>
      </c>
    </row>
    <row r="82" spans="1:30">
      <c r="A82" s="16" t="s">
        <v>52</v>
      </c>
      <c r="B82" s="46">
        <f>SUM(B83:B87)</f>
        <v>113654.6611721612</v>
      </c>
      <c r="C82" s="46">
        <f>SUM(C83:C87)</f>
        <v>113654.6611721612</v>
      </c>
      <c r="D82" s="46">
        <f>SUM(D83:D87)</f>
        <v>113654.6611721612</v>
      </c>
      <c r="E82" s="46">
        <f>SUM(E83:E87)</f>
        <v>113654.6611721612</v>
      </c>
      <c r="F82" s="46">
        <f>SUM(F83:F87)</f>
        <v>113654.6611721612</v>
      </c>
      <c r="G82" s="46">
        <f>SUM(G83:G87)</f>
        <v>113654.6611721612</v>
      </c>
      <c r="H82" s="46">
        <f>SUM(H83:H87)</f>
        <v>113654.6611721612</v>
      </c>
      <c r="I82" s="46">
        <f>SUM(I83:I87)</f>
        <v>113654.6611721612</v>
      </c>
      <c r="J82" s="46">
        <f>SUM(J83:J87)</f>
        <v>113654.6611721612</v>
      </c>
      <c r="K82" s="46">
        <f>SUM(K83:K87)</f>
        <v>113654.6611721612</v>
      </c>
      <c r="L82" s="46">
        <f>SUM(L83:L87)</f>
        <v>113654.6611721612</v>
      </c>
      <c r="M82" s="46">
        <f>SUM(M83:M87)</f>
        <v>113654.6611721612</v>
      </c>
      <c r="N82" s="46">
        <f>SUM(N83:N87)</f>
        <v>113654.6611721612</v>
      </c>
      <c r="O82" s="46">
        <f>SUM(O83:O87)</f>
        <v>113654.6611721612</v>
      </c>
      <c r="P82" s="46">
        <f>SUM(P83:P87)</f>
        <v>113654.6611721612</v>
      </c>
      <c r="Q82" s="46">
        <f>SUM(Q83:Q87)</f>
        <v>113654.6611721612</v>
      </c>
      <c r="R82" s="46">
        <f>SUM(R83:R87)</f>
        <v>113654.6611721612</v>
      </c>
      <c r="S82" s="46">
        <f>SUM(S83:S87)</f>
        <v>113654.6611721612</v>
      </c>
      <c r="T82" s="46">
        <f>SUM(T83:T87)</f>
        <v>113654.6611721612</v>
      </c>
      <c r="U82" s="46">
        <f>SUM(U83:U87)</f>
        <v>113654.6611721612</v>
      </c>
      <c r="V82" s="46">
        <f>SUM(V83:V87)</f>
        <v>113654.6611721612</v>
      </c>
      <c r="W82" s="46">
        <f>SUM(W83:W87)</f>
        <v>113654.6611721612</v>
      </c>
      <c r="X82" s="46">
        <f>SUM(X83:X87)</f>
        <v>113654.6611721612</v>
      </c>
      <c r="Y82" s="46">
        <f>SUM(Y83:Y87)</f>
        <v>113654.6611721612</v>
      </c>
      <c r="Z82" s="46">
        <f>SUMIF($B$13:$Y$13,"Yes",B82:Y82)</f>
        <v>1477510.595238095</v>
      </c>
      <c r="AA82" s="46">
        <f>SUM(B82:M82)</f>
        <v>1363855.934065934</v>
      </c>
      <c r="AB82" s="46">
        <f>SUM(B82:Y82)</f>
        <v>2727711.868131868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113654.6611721612</v>
      </c>
      <c r="C83" s="46">
        <f>IF(Calculations!$E23&gt;COUNT(Output!$B$35:C$35),Calculations!$B23,IF(Calculations!$E23=COUNT(Output!$B$35:C$35),Inputs!$B56-Calculations!$C23*(Calculations!$E23-1)+Calculations!$D23,0))</f>
        <v>113654.6611721612</v>
      </c>
      <c r="D83" s="46">
        <f>IF(Calculations!$E23&gt;COUNT(Output!$B$35:D$35),Calculations!$B23,IF(Calculations!$E23=COUNT(Output!$B$35:D$35),Inputs!$B56-Calculations!$C23*(Calculations!$E23-1)+Calculations!$D23,0))</f>
        <v>113654.6611721612</v>
      </c>
      <c r="E83" s="46">
        <f>IF(Calculations!$E23&gt;COUNT(Output!$B$35:E$35),Calculations!$B23,IF(Calculations!$E23=COUNT(Output!$B$35:E$35),Inputs!$B56-Calculations!$C23*(Calculations!$E23-1)+Calculations!$D23,0))</f>
        <v>113654.6611721612</v>
      </c>
      <c r="F83" s="46">
        <f>IF(Calculations!$E23&gt;COUNT(Output!$B$35:F$35),Calculations!$B23,IF(Calculations!$E23=COUNT(Output!$B$35:F$35),Inputs!$B56-Calculations!$C23*(Calculations!$E23-1)+Calculations!$D23,0))</f>
        <v>113654.6611721612</v>
      </c>
      <c r="G83" s="46">
        <f>IF(Calculations!$E23&gt;COUNT(Output!$B$35:G$35),Calculations!$B23,IF(Calculations!$E23=COUNT(Output!$B$35:G$35),Inputs!$B56-Calculations!$C23*(Calculations!$E23-1)+Calculations!$D23,0))</f>
        <v>113654.6611721612</v>
      </c>
      <c r="H83" s="46">
        <f>IF(Calculations!$E23&gt;COUNT(Output!$B$35:H$35),Calculations!$B23,IF(Calculations!$E23=COUNT(Output!$B$35:H$35),Inputs!$B56-Calculations!$C23*(Calculations!$E23-1)+Calculations!$D23,0))</f>
        <v>113654.6611721612</v>
      </c>
      <c r="I83" s="46">
        <f>IF(Calculations!$E23&gt;COUNT(Output!$B$35:I$35),Calculations!$B23,IF(Calculations!$E23=COUNT(Output!$B$35:I$35),Inputs!$B56-Calculations!$C23*(Calculations!$E23-1)+Calculations!$D23,0))</f>
        <v>113654.6611721612</v>
      </c>
      <c r="J83" s="46">
        <f>IF(Calculations!$E23&gt;COUNT(Output!$B$35:J$35),Calculations!$B23,IF(Calculations!$E23=COUNT(Output!$B$35:J$35),Inputs!$B56-Calculations!$C23*(Calculations!$E23-1)+Calculations!$D23,0))</f>
        <v>113654.6611721612</v>
      </c>
      <c r="K83" s="46">
        <f>IF(Calculations!$E23&gt;COUNT(Output!$B$35:K$35),Calculations!$B23,IF(Calculations!$E23=COUNT(Output!$B$35:K$35),Inputs!$B56-Calculations!$C23*(Calculations!$E23-1)+Calculations!$D23,0))</f>
        <v>113654.6611721612</v>
      </c>
      <c r="L83" s="46">
        <f>IF(Calculations!$E23&gt;COUNT(Output!$B$35:L$35),Calculations!$B23,IF(Calculations!$E23=COUNT(Output!$B$35:L$35),Inputs!$B56-Calculations!$C23*(Calculations!$E23-1)+Calculations!$D23,0))</f>
        <v>113654.6611721612</v>
      </c>
      <c r="M83" s="46">
        <f>IF(Calculations!$E23&gt;COUNT(Output!$B$35:M$35),Calculations!$B23,IF(Calculations!$E23=COUNT(Output!$B$35:M$35),Inputs!$B56-Calculations!$C23*(Calculations!$E23-1)+Calculations!$D23,0))</f>
        <v>113654.6611721612</v>
      </c>
      <c r="N83" s="46">
        <f>IF(Calculations!$E23&gt;COUNT(Output!$B$35:N$35),Calculations!$B23,IF(Calculations!$E23=COUNT(Output!$B$35:N$35),Inputs!$B56-Calculations!$C23*(Calculations!$E23-1)+Calculations!$D23,0))</f>
        <v>113654.6611721612</v>
      </c>
      <c r="O83" s="46">
        <f>IF(Calculations!$E23&gt;COUNT(Output!$B$35:O$35),Calculations!$B23,IF(Calculations!$E23=COUNT(Output!$B$35:O$35),Inputs!$B56-Calculations!$C23*(Calculations!$E23-1)+Calculations!$D23,0))</f>
        <v>113654.6611721612</v>
      </c>
      <c r="P83" s="46">
        <f>IF(Calculations!$E23&gt;COUNT(Output!$B$35:P$35),Calculations!$B23,IF(Calculations!$E23=COUNT(Output!$B$35:P$35),Inputs!$B56-Calculations!$C23*(Calculations!$E23-1)+Calculations!$D23,0))</f>
        <v>113654.6611721612</v>
      </c>
      <c r="Q83" s="46">
        <f>IF(Calculations!$E23&gt;COUNT(Output!$B$35:Q$35),Calculations!$B23,IF(Calculations!$E23=COUNT(Output!$B$35:Q$35),Inputs!$B56-Calculations!$C23*(Calculations!$E23-1)+Calculations!$D23,0))</f>
        <v>113654.6611721612</v>
      </c>
      <c r="R83" s="46">
        <f>IF(Calculations!$E23&gt;COUNT(Output!$B$35:R$35),Calculations!$B23,IF(Calculations!$E23=COUNT(Output!$B$35:R$35),Inputs!$B56-Calculations!$C23*(Calculations!$E23-1)+Calculations!$D23,0))</f>
        <v>113654.6611721612</v>
      </c>
      <c r="S83" s="46">
        <f>IF(Calculations!$E23&gt;COUNT(Output!$B$35:S$35),Calculations!$B23,IF(Calculations!$E23=COUNT(Output!$B$35:S$35),Inputs!$B56-Calculations!$C23*(Calculations!$E23-1)+Calculations!$D23,0))</f>
        <v>113654.6611721612</v>
      </c>
      <c r="T83" s="46">
        <f>IF(Calculations!$E23&gt;COUNT(Output!$B$35:T$35),Calculations!$B23,IF(Calculations!$E23=COUNT(Output!$B$35:T$35),Inputs!$B56-Calculations!$C23*(Calculations!$E23-1)+Calculations!$D23,0))</f>
        <v>113654.6611721612</v>
      </c>
      <c r="U83" s="46">
        <f>IF(Calculations!$E23&gt;COUNT(Output!$B$35:U$35),Calculations!$B23,IF(Calculations!$E23=COUNT(Output!$B$35:U$35),Inputs!$B56-Calculations!$C23*(Calculations!$E23-1)+Calculations!$D23,0))</f>
        <v>113654.6611721612</v>
      </c>
      <c r="V83" s="46">
        <f>IF(Calculations!$E23&gt;COUNT(Output!$B$35:V$35),Calculations!$B23,IF(Calculations!$E23=COUNT(Output!$B$35:V$35),Inputs!$B56-Calculations!$C23*(Calculations!$E23-1)+Calculations!$D23,0))</f>
        <v>113654.6611721612</v>
      </c>
      <c r="W83" s="46">
        <f>IF(Calculations!$E23&gt;COUNT(Output!$B$35:W$35),Calculations!$B23,IF(Calculations!$E23=COUNT(Output!$B$35:W$35),Inputs!$B56-Calculations!$C23*(Calculations!$E23-1)+Calculations!$D23,0))</f>
        <v>113654.6611721612</v>
      </c>
      <c r="X83" s="46">
        <f>IF(Calculations!$E23&gt;COUNT(Output!$B$35:X$35),Calculations!$B23,IF(Calculations!$E23=COUNT(Output!$B$35:X$35),Inputs!$B56-Calculations!$C23*(Calculations!$E23-1)+Calculations!$D23,0))</f>
        <v>113654.6611721612</v>
      </c>
      <c r="Y83" s="46">
        <f>IF(Calculations!$E23&gt;COUNT(Output!$B$35:Y$35),Calculations!$B23,IF(Calculations!$E23=COUNT(Output!$B$35:Y$35),Inputs!$B56-Calculations!$C23*(Calculations!$E23-1)+Calculations!$D23,0))</f>
        <v>113654.6611721612</v>
      </c>
      <c r="Z83" s="46">
        <f>SUMIF($B$13:$Y$13,"Yes",B83:Y83)</f>
        <v>1477510.595238095</v>
      </c>
      <c r="AA83" s="46">
        <f>SUM(B83:M83)</f>
        <v>1363855.934065934</v>
      </c>
      <c r="AB83" s="46">
        <f>SUM(B83:Y83)</f>
        <v>2727711.868131868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440418.30006105</v>
      </c>
      <c r="C88" s="19">
        <f>SUM(C72:C82,C66,C60,C54,C48,C42,C36)</f>
        <v>440418.30006105</v>
      </c>
      <c r="D88" s="19">
        <f>SUM(D72:D82,D66,D60,D54,D48,D42,D36)</f>
        <v>439986.30006105</v>
      </c>
      <c r="E88" s="19">
        <f>SUM(E72:E82,E66,E60,E54,E48,E42,E36)</f>
        <v>453418.30006105</v>
      </c>
      <c r="F88" s="19">
        <f>SUM(F72:F82,F66,F60,F54,F48,F42,F36)</f>
        <v>440418.30006105</v>
      </c>
      <c r="G88" s="19">
        <f>SUM(G72:G82,G66,G60,G54,G48,G42,G36)</f>
        <v>440418.30006105</v>
      </c>
      <c r="H88" s="19">
        <f>SUM(H72:H82,H66,H60,H54,H48,H42,H36)</f>
        <v>440418.30006105</v>
      </c>
      <c r="I88" s="19">
        <f>SUM(I72:I82,I66,I60,I54,I48,I42,I36)</f>
        <v>440418.30006105</v>
      </c>
      <c r="J88" s="19">
        <f>SUM(J72:J82,J66,J60,J54,J48,J42,J36)</f>
        <v>439986.30006105</v>
      </c>
      <c r="K88" s="19">
        <f>SUM(K72:K82,K66,K60,K54,K48,K42,K36)</f>
        <v>453418.30006105</v>
      </c>
      <c r="L88" s="19">
        <f>SUM(L72:L82,L66,L60,L54,L48,L42,L36)</f>
        <v>440418.30006105</v>
      </c>
      <c r="M88" s="19">
        <f>SUM(M72:M82,M66,M60,M54,M48,M42,M36)</f>
        <v>440418.30006105</v>
      </c>
      <c r="N88" s="19">
        <f>SUM(N72:N82,N66,N60,N54,N48,N42,N36)</f>
        <v>440418.30006105</v>
      </c>
      <c r="O88" s="19">
        <f>SUM(O72:O82,O66,O60,O54,O48,O42,O36)</f>
        <v>440418.30006105</v>
      </c>
      <c r="P88" s="19">
        <f>SUM(P72:P82,P66,P60,P54,P48,P42,P36)</f>
        <v>439986.30006105</v>
      </c>
      <c r="Q88" s="19">
        <f>SUM(Q72:Q82,Q66,Q60,Q54,Q48,Q42,Q36)</f>
        <v>453418.30006105</v>
      </c>
      <c r="R88" s="19">
        <f>SUM(R72:R82,R66,R60,R54,R48,R42,R36)</f>
        <v>440418.30006105</v>
      </c>
      <c r="S88" s="19">
        <f>SUM(S72:S82,S66,S60,S54,S48,S42,S36)</f>
        <v>440418.30006105</v>
      </c>
      <c r="T88" s="19">
        <f>SUM(T72:T82,T66,T60,T54,T48,T42,T36)</f>
        <v>440418.30006105</v>
      </c>
      <c r="U88" s="19">
        <f>SUM(U72:U82,U66,U60,U54,U48,U42,U36)</f>
        <v>440418.30006105</v>
      </c>
      <c r="V88" s="19">
        <f>SUM(V72:V82,V66,V60,V54,V48,V42,V36)</f>
        <v>439986.30006105</v>
      </c>
      <c r="W88" s="19">
        <f>SUM(W72:W82,W66,W60,W54,W48,W42,W36)</f>
        <v>453418.30006105</v>
      </c>
      <c r="X88" s="19">
        <f>SUM(X72:X82,X66,X60,X54,X48,X42,X36)</f>
        <v>440418.30006105</v>
      </c>
      <c r="Y88" s="19">
        <f>SUM(Y72:Y82,Y66,Y60,Y54,Y48,Y42,Y36)</f>
        <v>440418.30006105</v>
      </c>
      <c r="Z88" s="19">
        <f>SUMIF($B$13:$Y$13,"Yes",B88:Y88)</f>
        <v>5750573.900793649</v>
      </c>
      <c r="AA88" s="19">
        <f>SUM(B88:M88)</f>
        <v>5310155.600732599</v>
      </c>
      <c r="AB88" s="19">
        <f>SUM(B88:Y88)</f>
        <v>10620311.2014652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275000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3155000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2771189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3071189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94</v>
      </c>
      <c r="B8" s="16"/>
      <c r="C8" s="143">
        <v>0.5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30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</v>
      </c>
      <c r="D19" s="145">
        <v>1</v>
      </c>
      <c r="E19" s="20"/>
      <c r="F19" s="145" t="s">
        <v>92</v>
      </c>
      <c r="G19" s="20"/>
      <c r="H19" s="20"/>
      <c r="I19" s="145" t="s">
        <v>110</v>
      </c>
      <c r="J19" s="145">
        <v>20</v>
      </c>
      <c r="K19" s="145"/>
      <c r="L19" s="25"/>
    </row>
    <row r="20" spans="1:48">
      <c r="A20" s="143" t="s">
        <v>111</v>
      </c>
      <c r="B20" s="16"/>
      <c r="C20" s="143">
        <v>1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40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200000</v>
      </c>
    </row>
    <row r="31" spans="1:48">
      <c r="A31" s="5" t="s">
        <v>119</v>
      </c>
      <c r="B31" s="158">
        <v>400000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127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127</v>
      </c>
    </row>
    <row r="45" spans="1:48">
      <c r="A45" s="56" t="s">
        <v>133</v>
      </c>
      <c r="B45" s="161">
        <v>600000</v>
      </c>
    </row>
    <row r="46" spans="1:48" customHeight="1" ht="30">
      <c r="A46" s="57" t="s">
        <v>134</v>
      </c>
      <c r="B46" s="161">
        <v>200000</v>
      </c>
    </row>
    <row r="47" spans="1:48" customHeight="1" ht="30">
      <c r="A47" s="57" t="s">
        <v>135</v>
      </c>
      <c r="B47" s="161">
        <v>50000</v>
      </c>
    </row>
    <row r="48" spans="1:48" customHeight="1" ht="30">
      <c r="A48" s="57" t="s">
        <v>136</v>
      </c>
      <c r="B48" s="161">
        <v>2000000</v>
      </c>
    </row>
    <row r="49" spans="1:48" customHeight="1" ht="30">
      <c r="A49" s="57" t="s">
        <v>137</v>
      </c>
      <c r="B49" s="161">
        <v>30000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3395000</v>
      </c>
      <c r="B56" s="159">
        <v>2771189</v>
      </c>
      <c r="C56" s="162" t="s">
        <v>146</v>
      </c>
      <c r="D56" s="163" t="s">
        <v>147</v>
      </c>
      <c r="E56" s="163" t="s">
        <v>127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150</v>
      </c>
      <c r="C65" s="10" t="s">
        <v>151</v>
      </c>
    </row>
    <row r="66" spans="1:48">
      <c r="A66" s="142" t="s">
        <v>152</v>
      </c>
      <c r="B66" s="159">
        <v>3744783</v>
      </c>
      <c r="C66" s="163">
        <v>3777639</v>
      </c>
      <c r="D66" s="49">
        <f>INDEX(Parameters!$D$79:$D$90,MATCH(Inputs!A66,Parameters!$C$79:$C$90,0))</f>
        <v>6</v>
      </c>
    </row>
    <row r="67" spans="1:48">
      <c r="A67" s="143" t="s">
        <v>153</v>
      </c>
      <c r="B67" s="157">
        <v>26036093</v>
      </c>
      <c r="C67" s="165">
        <v>2670294</v>
      </c>
      <c r="D67" s="49">
        <f>INDEX(Parameters!$D$79:$D$90,MATCH(Inputs!A67,Parameters!$C$79:$C$90,0))</f>
        <v>7</v>
      </c>
    </row>
    <row r="68" spans="1:48">
      <c r="A68" s="143" t="s">
        <v>93</v>
      </c>
      <c r="B68" s="157">
        <v>2372120</v>
      </c>
      <c r="C68" s="165">
        <v>2345387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1978259</v>
      </c>
      <c r="C69" s="165">
        <v>2005242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1649622</v>
      </c>
      <c r="C70" s="165">
        <v>16495593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1133366</v>
      </c>
      <c r="C71" s="167">
        <v>1115012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43313</v>
      </c>
      <c r="C4" s="38">
        <f>IFERROR(DATE(YEAR(B4),MONTH(B4)+ROUND(T4/2,0),DAY(B4)),B4)</f>
        <v>43313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0.5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3304.882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0.5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3000</v>
      </c>
      <c r="M5" s="30">
        <f>L5*H5</f>
        <v>1500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23520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12000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3600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61320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7666.666666666667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3395000</v>
      </c>
      <c r="B23" s="75">
        <f>SUM(C23:D23)</f>
        <v>113654.6611721612</v>
      </c>
      <c r="C23" s="75">
        <f>IF(Inputs!B56&gt;0,(Inputs!A56-Inputs!B56)/(DATE(YEAR(Inputs!$B$76),MONTH(Inputs!$B$76),DAY(Inputs!$B$76))-DATE(YEAR(Inputs!C56),MONTH(Inputs!C56),DAY(Inputs!C56)))*30,0)</f>
        <v>51412.99450549451</v>
      </c>
      <c r="D23" s="75">
        <f>IF(Inputs!B56&gt;0,Inputs!A56*0.22/12,0)</f>
        <v>62241.66666666666</v>
      </c>
      <c r="E23" s="75">
        <f>IFERROR(ROUNDUP(Inputs!B56/C23,0),0)</f>
        <v>54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43302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43333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43364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229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43394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43425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43455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92</v>
      </c>
      <c r="C41" s="191" t="s">
        <v>127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131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127</v>
      </c>
      <c r="B77" s="176">
        <v>0</v>
      </c>
      <c r="C77" s="12" t="s">
        <v>349</v>
      </c>
      <c r="E77" s="12" t="s">
        <v>92</v>
      </c>
      <c r="F77" s="12" t="s">
        <v>92</v>
      </c>
      <c r="G77" s="12" t="s">
        <v>112</v>
      </c>
      <c r="H77" s="12" t="s">
        <v>131</v>
      </c>
      <c r="I77" s="12" t="s">
        <v>350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110</v>
      </c>
      <c r="H78" s="12" t="s">
        <v>315</v>
      </c>
      <c r="I78" s="12" t="s">
        <v>353</v>
      </c>
      <c r="J78" s="70" t="s">
        <v>354</v>
      </c>
      <c r="K78" s="12" t="s">
        <v>92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168</v>
      </c>
      <c r="J79" s="70" t="s">
        <v>359</v>
      </c>
      <c r="K79" s="12" t="s">
        <v>92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127</v>
      </c>
      <c r="AJ80" s="12"/>
    </row>
    <row r="81" spans="1:36">
      <c r="B81" s="176">
        <v>30</v>
      </c>
      <c r="C81" s="12" t="s">
        <v>95</v>
      </c>
      <c r="D81" s="12">
        <f>D80+1</f>
        <v>3</v>
      </c>
      <c r="J81" s="70" t="s">
        <v>364</v>
      </c>
      <c r="K81" s="12" t="s">
        <v>127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93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