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<sst xmlns="http://schemas.openxmlformats.org/spreadsheetml/2006/main" uniqueCount="372">
  <si>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</si>
  <si>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</si>
  <si>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</si>
  <si>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</si>
  <si>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</si>
  <si>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</si>
  <si>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</si>
  <si>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</si>
  <si>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</si>
  <si>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</si>
  <si>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</si>
  <si>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</si>
  <si>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</si>
  <si>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</si>
  <si>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</si>
  <si>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</si>
  <si>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</si>
  <si>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</si>
  <si>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</si>
  <si>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</si>
  <si>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</si>
  <si>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</si>
  <si>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</si>
  <si>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</si>
  <si>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</si>
  <si>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</si>
  <si>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</si>
  <si>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</si>
  <si>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</si>
  <si>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</si>
  <si>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</si>
  <si>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</si>
  <si>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</si>
  <si>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</si>
  <si>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</si>
  <si>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</si>
  <si>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</si>
  <si>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</si>
  <si>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</si>
  <si>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</si>
  <si>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</si>
  <si>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</si>
  <si>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</si>
  <si>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</si>
  <si>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</si>
  <si>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</si>
  <si>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</si>
  <si>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</si>
  <si>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</si>
  <si>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</si>
  <si>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</si>
  <si>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</si>
  <si>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</si>
  <si>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</si>
  <si>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</si>
  <si>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</si>
  <si>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</si>
  <si>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</si>
  <si>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</si>
  <si>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</si>
  <si>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</si>
  <si>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</si>
  <si>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</si>
  <si>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</si>
  <si>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</si>
  <si>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</si>
  <si>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</si>
  <si>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</si>
  <si>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</si>
  <si>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</si>
  <si>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</si>
  <si>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</si>
  <si>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</si>
  <si>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</si>
  <si>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</si>
  <si>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</si>
  <si>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</si>
  <si>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</si>
  <si>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</si>
  <si>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</si>
  <si>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</si>
  <si>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</si>
  <si>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</si>
  <si>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</si>
  <si>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</si>
  <si>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</si>
  <si>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</si>
  <si>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</si>
  <si>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</si>
  <si>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</si>
  <si>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</si>
  <si>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</si>
  <si>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</si>
  <si>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</si>
  <si>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</si>
  <si>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</si>
  <si>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</si>
  <si>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</si>
  <si>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</si>
  <si>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</si>
  <si>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</si>
  <si>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</si>
  <si>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</si>
  <si>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</si>
  <si>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</si>
  <si>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</si>
  <si>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</si>
  <si>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</si>
  <si>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</si>
  <si>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</si>
  <si>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</si>
  <si>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</si>
  <si>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</si>
  <si>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</si>
  <si>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Shop and 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</si>
  <si>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</si>
  <si>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</si>
  <si>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</si>
  <si>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</si>
  <si>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</si>
  <si>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</si>
  <si>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</si>
  <si>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</si>
  <si>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January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</si>
  <si>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</si>
  <si>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</si>
  <si>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</si>
  <si>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</si>
  <si>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</si>
  <si>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</si>
  <si>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</si>
  <si>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</si>
  <si>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</si>
  <si>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</si>
  <si>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</si>
  <si>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</si>
  <si>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</si>
  <si>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</si>
  <si>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</si>
  <si>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</si>
  <si>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</si>
  <si>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</si>
  <si>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</si>
  <si>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</si>
  <si>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</si>
  <si>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7/24/2017</t>
  </si>
  <si>
    <t>Family bank</t>
  </si>
  <si>
    <t>well paid</t>
  </si>
  <si>
    <t>6/20/2017</t>
  </si>
  <si>
    <t>Letshego</t>
  </si>
  <si>
    <t>Mpesa &amp; bank cash flows (from past statements)</t>
  </si>
  <si>
    <t>Cash inflows</t>
  </si>
  <si>
    <t>Cash outflows</t>
  </si>
  <si>
    <t>February</t>
  </si>
  <si>
    <t>April</t>
  </si>
  <si>
    <t>May</t>
  </si>
  <si>
    <t>Loan info</t>
  </si>
  <si>
    <t>Branch ID</t>
  </si>
  <si>
    <t>Submission date</t>
  </si>
  <si>
    <t>2017/12/27</t>
  </si>
  <si>
    <t>Loan terms</t>
  </si>
  <si>
    <t>Expected disbursement date</t>
  </si>
  <si>
    <t>Expected first repayment date</t>
  </si>
  <si>
    <t>2018/1/27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</si>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</sst>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Shop and 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0.6192041304347826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87500</v>
      </c>
    </row>
    <row r="17" spans="1:7">
      <c r="B17" s="1" t="s">
        <v>11</v>
      </c>
      <c r="C17" s="36">
        <f>SUM(Output!B6:M6)</f>
        <v>-2587247.331259431</v>
      </c>
    </row>
    <row r="18" spans="1:7">
      <c r="B18" s="1" t="s">
        <v>12</v>
      </c>
      <c r="C18" s="36">
        <f>MIN(Output!B6:M6)</f>
        <v>-1620508.210004256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244236.6967810235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2399500</v>
      </c>
    </row>
    <row r="25" spans="1:7">
      <c r="B25" s="1" t="s">
        <v>18</v>
      </c>
      <c r="C25" s="36">
        <f>MAX(Inputs!A56:A60)</f>
        <v>4400000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70889.12707365747</v>
      </c>
      <c r="C6" s="51">
        <f>C30-C88</f>
        <v>-1620508.210004256</v>
      </c>
      <c r="D6" s="51">
        <f>D30-D88</f>
        <v>-120508.2100042558</v>
      </c>
      <c r="E6" s="51">
        <f>E30-E88</f>
        <v>-213015.3528613986</v>
      </c>
      <c r="F6" s="51">
        <f>F30-F88</f>
        <v>-197865.3528613986</v>
      </c>
      <c r="G6" s="51">
        <f>G30-G88</f>
        <v>-197865.3528613986</v>
      </c>
      <c r="H6" s="51">
        <f>H30-H88</f>
        <v>-212865.3528613986</v>
      </c>
      <c r="I6" s="51">
        <f>I30-I88</f>
        <v>-225707.4581245565</v>
      </c>
      <c r="J6" s="51">
        <f>J30-J88</f>
        <v>-164655.6160192933</v>
      </c>
      <c r="K6" s="51">
        <f>K30-K88</f>
        <v>-146256.7791624398</v>
      </c>
      <c r="L6" s="51">
        <f>L30-L88</f>
        <v>196874.5296462845</v>
      </c>
      <c r="M6" s="51">
        <f>M30-M88</f>
        <v>244236.6967810235</v>
      </c>
      <c r="N6" s="51">
        <f>N30-N88</f>
        <v>104098.8639157627</v>
      </c>
      <c r="O6" s="51">
        <f>O30-O88</f>
        <v>-87298.47316215048</v>
      </c>
      <c r="P6" s="51">
        <f>P30-P88</f>
        <v>-87298.47316215048</v>
      </c>
      <c r="Q6" s="51">
        <f>Q30-Q88</f>
        <v>-179805.6160192933</v>
      </c>
      <c r="R6" s="51">
        <f>R30-R88</f>
        <v>-164655.6160192933</v>
      </c>
      <c r="S6" s="51">
        <f>S30-S88</f>
        <v>-164655.6160192933</v>
      </c>
      <c r="T6" s="51">
        <f>T30-T88</f>
        <v>-179655.6160192933</v>
      </c>
      <c r="U6" s="51">
        <f>U30-U88</f>
        <v>-164655.6160192933</v>
      </c>
      <c r="V6" s="51">
        <f>V30-V88</f>
        <v>-164655.6160192933</v>
      </c>
      <c r="W6" s="51">
        <f>W30-W88</f>
        <v>-146256.7791624398</v>
      </c>
      <c r="X6" s="51">
        <f>X30-X88</f>
        <v>196874.5296462845</v>
      </c>
      <c r="Y6" s="51">
        <f>Y30-Y88</f>
        <v>244236.6967810235</v>
      </c>
      <c r="Z6" s="51">
        <f>SUMIF($B$13:$Y$13,"Yes",B6:Y6)</f>
        <v>-3380974.66251886</v>
      </c>
      <c r="AA6" s="51">
        <f>AA30-AA88</f>
        <v>-2587247.331259429</v>
      </c>
      <c r="AB6" s="51">
        <f>AB30-AB88</f>
        <v>-3380974.662518865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500000</v>
      </c>
      <c r="C7" s="80">
        <f>IF(ISERROR(VLOOKUP(MONTH(C5),Inputs!$D$66:$D$71,1,0)),"",INDEX(Inputs!$B$66:$B$71,MATCH(MONTH(Output!C5),Inputs!$D$66:$D$71,0))-INDEX(Inputs!$C$66:$C$71,MATCH(MONTH(Output!C5),Inputs!$D$66:$D$71,0)))</f>
        <v>100000</v>
      </c>
      <c r="D7" s="80">
        <f>IF(ISERROR(VLOOKUP(MONTH(D5),Inputs!$D$66:$D$71,1,0)),"",INDEX(Inputs!$B$66:$B$71,MATCH(MONTH(Output!D5),Inputs!$D$66:$D$71,0))-INDEX(Inputs!$C$66:$C$71,MATCH(MONTH(Output!D5),Inputs!$D$66:$D$71,0)))</f>
        <v>300000</v>
      </c>
      <c r="E7" s="80">
        <f>IF(ISERROR(VLOOKUP(MONTH(E5),Inputs!$D$66:$D$71,1,0)),"",INDEX(Inputs!$B$66:$B$71,MATCH(MONTH(Output!E5),Inputs!$D$66:$D$71,0))-INDEX(Inputs!$C$66:$C$71,MATCH(MONTH(Output!E5),Inputs!$D$66:$D$71,0)))</f>
        <v>50000</v>
      </c>
      <c r="F7" s="80">
        <f>IF(ISERROR(VLOOKUP(MONTH(F5),Inputs!$D$66:$D$71,1,0)),"",INDEX(Inputs!$B$66:$B$71,MATCH(MONTH(Output!F5),Inputs!$D$66:$D$71,0))-INDEX(Inputs!$C$66:$C$71,MATCH(MONTH(Output!F5),Inputs!$D$66:$D$71,0)))</f>
        <v>100000</v>
      </c>
      <c r="G7" s="80">
        <f>IF(ISERROR(VLOOKUP(MONTH(G5),Inputs!$D$66:$D$71,1,0)),"",INDEX(Inputs!$B$66:$B$71,MATCH(MONTH(Output!G5),Inputs!$D$66:$D$71,0))-INDEX(Inputs!$C$66:$C$71,MATCH(MONTH(Output!G5),Inputs!$D$66:$D$71,0)))</f>
        <v>150000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500000</v>
      </c>
      <c r="O7" s="80">
        <f>IF(ISERROR(VLOOKUP(MONTH(O5),Inputs!$D$66:$D$71,1,0)),"",INDEX(Inputs!$B$66:$B$71,MATCH(MONTH(Output!O5),Inputs!$D$66:$D$71,0))-INDEX(Inputs!$C$66:$C$71,MATCH(MONTH(Output!O5),Inputs!$D$66:$D$71,0)))</f>
        <v>100000</v>
      </c>
      <c r="P7" s="80">
        <f>IF(ISERROR(VLOOKUP(MONTH(P5),Inputs!$D$66:$D$71,1,0)),"",INDEX(Inputs!$B$66:$B$71,MATCH(MONTH(Output!P5),Inputs!$D$66:$D$71,0))-INDEX(Inputs!$C$66:$C$71,MATCH(MONTH(Output!P5),Inputs!$D$66:$D$71,0)))</f>
        <v>300000</v>
      </c>
      <c r="Q7" s="80">
        <f>IF(ISERROR(VLOOKUP(MONTH(Q5),Inputs!$D$66:$D$71,1,0)),"",INDEX(Inputs!$B$66:$B$71,MATCH(MONTH(Output!Q5),Inputs!$D$66:$D$71,0))-INDEX(Inputs!$C$66:$C$71,MATCH(MONTH(Output!Q5),Inputs!$D$66:$D$71,0)))</f>
        <v>50000</v>
      </c>
      <c r="R7" s="80">
        <f>IF(ISERROR(VLOOKUP(MONTH(R5),Inputs!$D$66:$D$71,1,0)),"",INDEX(Inputs!$B$66:$B$71,MATCH(MONTH(Output!R5),Inputs!$D$66:$D$71,0))-INDEX(Inputs!$C$66:$C$71,MATCH(MONTH(Output!R5),Inputs!$D$66:$D$71,0)))</f>
        <v>100000</v>
      </c>
      <c r="S7" s="80">
        <f>IF(ISERROR(VLOOKUP(MONTH(S5),Inputs!$D$66:$D$71,1,0)),"",INDEX(Inputs!$B$66:$B$71,MATCH(MONTH(Output!S5),Inputs!$D$66:$D$71,0))-INDEX(Inputs!$C$66:$C$71,MATCH(MONTH(Output!S5),Inputs!$D$66:$D$71,0)))</f>
        <v>150000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1500000</v>
      </c>
      <c r="AA9" s="75">
        <f>SUM(B9:M9)</f>
        <v>1500000</v>
      </c>
      <c r="AB9" s="75">
        <f>SUM(B9:Y9)</f>
        <v>1500000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87500</v>
      </c>
      <c r="D10" s="37">
        <f>SUMPRODUCT((Calculations!$D$33:$D$84=Output!D5)+0,Calculations!$C$33:$C$84)</f>
        <v>87500</v>
      </c>
      <c r="E10" s="37">
        <f>SUMPRODUCT((Calculations!$D$33:$D$84=Output!E5)+0,Calculations!$C$33:$C$84)</f>
        <v>87500</v>
      </c>
      <c r="F10" s="37">
        <f>SUMPRODUCT((Calculations!$D$33:$D$84=Output!F5)+0,Calculations!$C$33:$C$84)</f>
        <v>87500</v>
      </c>
      <c r="G10" s="37">
        <f>SUMPRODUCT((Calculations!$D$33:$D$84=Output!G5)+0,Calculations!$C$33:$C$84)</f>
        <v>87500</v>
      </c>
      <c r="H10" s="37">
        <f>SUMPRODUCT((Calculations!$D$33:$D$84=Output!H5)+0,Calculations!$C$33:$C$84)</f>
        <v>87500</v>
      </c>
      <c r="I10" s="37">
        <f>SUMPRODUCT((Calculations!$D$33:$D$84=Output!I5)+0,Calculations!$C$33:$C$84)</f>
        <v>87500</v>
      </c>
      <c r="J10" s="37">
        <f>SUMPRODUCT((Calculations!$D$33:$D$84=Output!J5)+0,Calculations!$C$33:$C$84)</f>
        <v>87500</v>
      </c>
      <c r="K10" s="37">
        <f>SUMPRODUCT((Calculations!$D$33:$D$84=Output!K5)+0,Calculations!$C$33:$C$84)</f>
        <v>87500</v>
      </c>
      <c r="L10" s="37">
        <f>SUMPRODUCT((Calculations!$D$33:$D$84=Output!L5)+0,Calculations!$C$33:$C$84)</f>
        <v>87500</v>
      </c>
      <c r="M10" s="37">
        <f>SUMPRODUCT((Calculations!$D$33:$D$84=Output!M5)+0,Calculations!$C$33:$C$84)</f>
        <v>87500</v>
      </c>
      <c r="N10" s="37">
        <f>SUMPRODUCT((Calculations!$D$33:$D$84=Output!N5)+0,Calculations!$C$33:$C$84)</f>
        <v>87500</v>
      </c>
      <c r="O10" s="37">
        <f>SUMPRODUCT((Calculations!$D$33:$D$84=Output!O5)+0,Calculations!$C$33:$C$84)</f>
        <v>87500</v>
      </c>
      <c r="P10" s="37">
        <f>SUMPRODUCT((Calculations!$D$33:$D$84=Output!P5)+0,Calculations!$C$33:$C$84)</f>
        <v>87500</v>
      </c>
      <c r="Q10" s="37">
        <f>SUMPRODUCT((Calculations!$D$33:$D$84=Output!Q5)+0,Calculations!$C$33:$C$84)</f>
        <v>87500</v>
      </c>
      <c r="R10" s="37">
        <f>SUMPRODUCT((Calculations!$D$33:$D$84=Output!R5)+0,Calculations!$C$33:$C$84)</f>
        <v>87500</v>
      </c>
      <c r="S10" s="37">
        <f>SUMPRODUCT((Calculations!$D$33:$D$84=Output!S5)+0,Calculations!$C$33:$C$84)</f>
        <v>87500</v>
      </c>
      <c r="T10" s="37">
        <f>SUMPRODUCT((Calculations!$D$33:$D$84=Output!T5)+0,Calculations!$C$33:$C$84)</f>
        <v>87500</v>
      </c>
      <c r="U10" s="37">
        <f>SUMPRODUCT((Calculations!$D$33:$D$84=Output!U5)+0,Calculations!$C$33:$C$84)</f>
        <v>87500</v>
      </c>
      <c r="V10" s="37">
        <f>SUMPRODUCT((Calculations!$D$33:$D$84=Output!V5)+0,Calculations!$C$33:$C$84)</f>
        <v>87500</v>
      </c>
      <c r="W10" s="37">
        <f>SUMPRODUCT((Calculations!$D$33:$D$84=Output!W5)+0,Calculations!$C$33:$C$84)</f>
        <v>87500</v>
      </c>
      <c r="X10" s="37">
        <f>SUMPRODUCT((Calculations!$D$33:$D$84=Output!X5)+0,Calculations!$C$33:$C$84)</f>
        <v>87500</v>
      </c>
      <c r="Y10" s="37">
        <f>SUMPRODUCT((Calculations!$D$33:$D$84=Output!Y5)+0,Calculations!$C$33:$C$84)</f>
        <v>87500</v>
      </c>
      <c r="Z10" s="37">
        <f>SUMIF($B$13:$Y$13,"Yes",B10:Y10)</f>
        <v>2012500</v>
      </c>
      <c r="AA10" s="37">
        <f>SUM(B10:M10)</f>
        <v>962500</v>
      </c>
      <c r="AB10" s="37">
        <f>SUM(B10:Y10)</f>
        <v>2012500</v>
      </c>
    </row>
    <row r="11" spans="1:30" customHeight="1" ht="15.75">
      <c r="A11" s="43" t="s">
        <v>31</v>
      </c>
      <c r="B11" s="80">
        <f>B6+B9-B10</f>
        <v>1570889.127073657</v>
      </c>
      <c r="C11" s="80">
        <f>C6+C9-C10</f>
        <v>-1708008.210004256</v>
      </c>
      <c r="D11" s="80">
        <f>D6+D9-D10</f>
        <v>-208008.2100042558</v>
      </c>
      <c r="E11" s="80">
        <f>E6+E9-E10</f>
        <v>-300515.3528613986</v>
      </c>
      <c r="F11" s="80">
        <f>F6+F9-F10</f>
        <v>-285365.3528613986</v>
      </c>
      <c r="G11" s="80">
        <f>G6+G9-G10</f>
        <v>-285365.3528613986</v>
      </c>
      <c r="H11" s="80">
        <f>H6+H9-H10</f>
        <v>-300365.3528613986</v>
      </c>
      <c r="I11" s="80">
        <f>I6+I9-I10</f>
        <v>-313207.4581245565</v>
      </c>
      <c r="J11" s="80">
        <f>J6+J9-J10</f>
        <v>-252155.6160192933</v>
      </c>
      <c r="K11" s="80">
        <f>K6+K9-K10</f>
        <v>-233756.7791624398</v>
      </c>
      <c r="L11" s="80">
        <f>L6+L9-L10</f>
        <v>109374.5296462845</v>
      </c>
      <c r="M11" s="80">
        <f>M6+M9-M10</f>
        <v>156736.6967810235</v>
      </c>
      <c r="N11" s="80">
        <f>N6+N9-N10</f>
        <v>16598.86391576275</v>
      </c>
      <c r="O11" s="80">
        <f>O6+O9-O10</f>
        <v>-174798.4731621505</v>
      </c>
      <c r="P11" s="80">
        <f>P6+P9-P10</f>
        <v>-174798.4731621505</v>
      </c>
      <c r="Q11" s="80">
        <f>Q6+Q9-Q10</f>
        <v>-267305.6160192933</v>
      </c>
      <c r="R11" s="80">
        <f>R6+R9-R10</f>
        <v>-252155.6160192933</v>
      </c>
      <c r="S11" s="80">
        <f>S6+S9-S10</f>
        <v>-252155.6160192933</v>
      </c>
      <c r="T11" s="80">
        <f>T6+T9-T10</f>
        <v>-267155.6160192933</v>
      </c>
      <c r="U11" s="80">
        <f>U6+U9-U10</f>
        <v>-252155.6160192933</v>
      </c>
      <c r="V11" s="80">
        <f>V6+V9-V10</f>
        <v>-252155.6160192933</v>
      </c>
      <c r="W11" s="80">
        <f>W6+W9-W10</f>
        <v>-233756.7791624398</v>
      </c>
      <c r="X11" s="80">
        <f>X6+X9-X10</f>
        <v>109374.5296462845</v>
      </c>
      <c r="Y11" s="80">
        <f>Y6+Y9-Y10</f>
        <v>156736.6967810235</v>
      </c>
      <c r="Z11" s="85">
        <f>SUMIF($B$13:$Y$13,"Yes",B11:Y11)</f>
        <v>-3893474.662518859</v>
      </c>
      <c r="AA11" s="80">
        <f>SUM(B11:M11)</f>
        <v>-2049747.33125943</v>
      </c>
      <c r="AB11" s="46">
        <f>SUM(B11:Y11)</f>
        <v>-3893474.662518859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999.99</v>
      </c>
      <c r="V12" s="82">
        <f>IF(V13="Yes",IF(SUM($B$10:V10)/(SUM($B$6:V6)+SUM($B$9:V9))&lt;0,999.99,SUM($B$10:V10)/(SUM($B$6:V6)+SUM($B$9:V9))),"")</f>
        <v>999.99</v>
      </c>
      <c r="W12" s="82">
        <f>IF(W13="Yes",IF(SUM($B$10:W10)/(SUM($B$6:W6)+SUM($B$9:W9))&lt;0,999.99,SUM($B$10:W10)/(SUM($B$6:W6)+SUM($B$9:W9))),"")</f>
        <v>999.99</v>
      </c>
      <c r="X12" s="82">
        <f>IF(X13="Yes",IF(SUM($B$10:X10)/(SUM($B$6:X6)+SUM($B$9:X9))&lt;0,999.99,SUM($B$10:X10)/(SUM($B$6:X6)+SUM($B$9:X9))),"")</f>
        <v>999.99</v>
      </c>
      <c r="Y12" s="82">
        <f>IF(Y13="Yes",IF(SUM($B$10:Y10)/(SUM($B$6:Y6)+SUM($B$9:Y9))&lt;0,999.99,SUM($B$10:Y10)/(SUM($B$6:Y6)+SUM($B$9:Y9))),"")</f>
        <v>999.99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378897.3370779133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236810.8356736958</v>
      </c>
      <c r="L18" s="36">
        <f>X18</f>
        <v>284173.0028084349</v>
      </c>
      <c r="M18" s="36">
        <f>Y18</f>
        <v>331535.1699431741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378897.3370779133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236810.8356736958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284173.0028084349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331535.1699431741</v>
      </c>
      <c r="Z18" s="36">
        <f>SUMIF($B$13:$Y$13,"Yes",B18:Y18)</f>
        <v>2462832.691006436</v>
      </c>
      <c r="AA18" s="36">
        <f>SUM(B18:M18)</f>
        <v>1231416.345503218</v>
      </c>
      <c r="AB18" s="36">
        <f>SUM(B18:Y18)</f>
        <v>2462832.691006436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726157.8947368421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200000</v>
      </c>
      <c r="C29" s="37">
        <f>Inputs!$B$30</f>
        <v>200000</v>
      </c>
      <c r="D29" s="37">
        <f>Inputs!$B$30</f>
        <v>200000</v>
      </c>
      <c r="E29" s="37">
        <f>Inputs!$B$30</f>
        <v>200000</v>
      </c>
      <c r="F29" s="37">
        <f>Inputs!$B$30</f>
        <v>200000</v>
      </c>
      <c r="G29" s="37">
        <f>Inputs!$B$30</f>
        <v>200000</v>
      </c>
      <c r="H29" s="37">
        <f>Inputs!$B$30</f>
        <v>200000</v>
      </c>
      <c r="I29" s="37">
        <f>Inputs!$B$30</f>
        <v>200000</v>
      </c>
      <c r="J29" s="37">
        <f>Inputs!$B$30</f>
        <v>200000</v>
      </c>
      <c r="K29" s="37">
        <f>Inputs!$B$30</f>
        <v>200000</v>
      </c>
      <c r="L29" s="37">
        <f>Inputs!$B$30</f>
        <v>200000</v>
      </c>
      <c r="M29" s="37">
        <f>Inputs!$B$30</f>
        <v>200000</v>
      </c>
      <c r="N29" s="37">
        <f>Inputs!$B$30</f>
        <v>200000</v>
      </c>
      <c r="O29" s="37">
        <f>Inputs!$B$30</f>
        <v>200000</v>
      </c>
      <c r="P29" s="37">
        <f>Inputs!$B$30</f>
        <v>200000</v>
      </c>
      <c r="Q29" s="37">
        <f>Inputs!$B$30</f>
        <v>200000</v>
      </c>
      <c r="R29" s="37">
        <f>Inputs!$B$30</f>
        <v>200000</v>
      </c>
      <c r="S29" s="37">
        <f>Inputs!$B$30</f>
        <v>200000</v>
      </c>
      <c r="T29" s="37">
        <f>Inputs!$B$30</f>
        <v>200000</v>
      </c>
      <c r="U29" s="37">
        <f>Inputs!$B$30</f>
        <v>200000</v>
      </c>
      <c r="V29" s="37">
        <f>Inputs!$B$30</f>
        <v>200000</v>
      </c>
      <c r="W29" s="37">
        <f>Inputs!$B$30</f>
        <v>200000</v>
      </c>
      <c r="X29" s="37">
        <f>Inputs!$B$30</f>
        <v>200000</v>
      </c>
      <c r="Y29" s="37">
        <f>Inputs!$B$30</f>
        <v>200000</v>
      </c>
      <c r="Z29" s="37">
        <f>SUMIF($B$13:$Y$13,"Yes",B29:Y29)</f>
        <v>4800000</v>
      </c>
      <c r="AA29" s="37">
        <f>SUM(B29:M29)</f>
        <v>2400000</v>
      </c>
      <c r="AB29" s="37">
        <f>SUM(B29:Y29)</f>
        <v>4800000</v>
      </c>
    </row>
    <row r="30" spans="1:30" customHeight="1" ht="15.75">
      <c r="A30" s="1" t="s">
        <v>37</v>
      </c>
      <c r="B30" s="19">
        <f>SUM(B18:B29)</f>
        <v>609153.9160252817</v>
      </c>
      <c r="C30" s="19">
        <f>SUM(C18:C29)</f>
        <v>230256.5789473684</v>
      </c>
      <c r="D30" s="19">
        <f>SUM(D18:D29)</f>
        <v>230256.5789473684</v>
      </c>
      <c r="E30" s="19">
        <f>SUM(E18:E29)</f>
        <v>230256.5789473684</v>
      </c>
      <c r="F30" s="19">
        <f>SUM(F18:F29)</f>
        <v>230256.5789473684</v>
      </c>
      <c r="G30" s="19">
        <f>SUM(G18:G29)</f>
        <v>230256.5789473684</v>
      </c>
      <c r="H30" s="19">
        <f>SUM(H18:H29)</f>
        <v>230256.5789473684</v>
      </c>
      <c r="I30" s="19">
        <f>SUM(I18:I29)</f>
        <v>230256.5789473684</v>
      </c>
      <c r="J30" s="19">
        <f>SUM(J18:J29)</f>
        <v>230256.5789473684</v>
      </c>
      <c r="K30" s="19">
        <f>SUM(K18:K29)</f>
        <v>467067.4146210642</v>
      </c>
      <c r="L30" s="19">
        <f>SUM(L18:L29)</f>
        <v>514429.5817558034</v>
      </c>
      <c r="M30" s="19">
        <f>SUM(M18:M29)</f>
        <v>561791.7488905424</v>
      </c>
      <c r="N30" s="19">
        <f>SUM(N18:N29)</f>
        <v>609153.9160252817</v>
      </c>
      <c r="O30" s="19">
        <f>SUM(O18:O29)</f>
        <v>230256.5789473684</v>
      </c>
      <c r="P30" s="19">
        <f>SUM(P18:P29)</f>
        <v>230256.5789473684</v>
      </c>
      <c r="Q30" s="19">
        <f>SUM(Q18:Q29)</f>
        <v>230256.5789473684</v>
      </c>
      <c r="R30" s="19">
        <f>SUM(R18:R29)</f>
        <v>230256.5789473684</v>
      </c>
      <c r="S30" s="19">
        <f>SUM(S18:S29)</f>
        <v>230256.5789473684</v>
      </c>
      <c r="T30" s="19">
        <f>SUM(T18:T29)</f>
        <v>230256.5789473684</v>
      </c>
      <c r="U30" s="19">
        <f>SUM(U18:U29)</f>
        <v>230256.5789473684</v>
      </c>
      <c r="V30" s="19">
        <f>SUM(V18:V29)</f>
        <v>230256.5789473684</v>
      </c>
      <c r="W30" s="19">
        <f>SUM(W18:W29)</f>
        <v>467067.4146210642</v>
      </c>
      <c r="X30" s="19">
        <f>SUM(X18:X29)</f>
        <v>514429.5817558034</v>
      </c>
      <c r="Y30" s="19">
        <f>SUM(Y18:Y29)</f>
        <v>561791.7488905424</v>
      </c>
      <c r="Z30" s="19">
        <f>SUMIF($B$13:$Y$13,"Yes",B30:Y30)</f>
        <v>7988990.585743275</v>
      </c>
      <c r="AA30" s="19">
        <f>SUM(B30:M30)</f>
        <v>3994495.29287164</v>
      </c>
      <c r="AB30" s="19">
        <f>SUM(B30:Y30)</f>
        <v>7988990.585743275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15150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15150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30300.00000000001</v>
      </c>
      <c r="AA42" s="36">
        <f>SUM(B42:M42)</f>
        <v>15150</v>
      </c>
      <c r="AB42" s="36">
        <f>SUM(B42:Y42)</f>
        <v>30300.00000000001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15150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15150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30300.00000000001</v>
      </c>
      <c r="AA43" s="36">
        <f>SUM(B43:M43)</f>
        <v>15150</v>
      </c>
      <c r="AB43" s="36">
        <f>SUM(B43:Y43)</f>
        <v>30300.00000000001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15000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15000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30000</v>
      </c>
      <c r="AA48" s="46">
        <f>SUM(B48:M48)</f>
        <v>15000</v>
      </c>
      <c r="AB48" s="46">
        <f>SUM(B48:Y48)</f>
        <v>30000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15000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15000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30000</v>
      </c>
      <c r="AA49" s="46">
        <f>SUM(B49:M49)</f>
        <v>15000</v>
      </c>
      <c r="AB49" s="46">
        <f>SUM(B49:Y49)</f>
        <v>30000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218411.9988168422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218411.9988168422</v>
      </c>
      <c r="X54" s="46">
        <f>SUM(X55:X59)</f>
        <v>0</v>
      </c>
      <c r="Y54" s="46">
        <f>SUM(Y55:Y59)</f>
        <v>0</v>
      </c>
      <c r="Z54" s="46">
        <f>SUMIF($B$13:$Y$13,"Yes",B54:Y54)</f>
        <v>436823.9976336844</v>
      </c>
      <c r="AA54" s="46">
        <f>SUM(B54:M54)</f>
        <v>218411.9988168422</v>
      </c>
      <c r="AB54" s="46">
        <f>SUM(B54:Y54)</f>
        <v>436823.9976336844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218411.9988168422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218411.9988168422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436823.9976336844</v>
      </c>
      <c r="AA55" s="46">
        <f>SUM(B55:M55)</f>
        <v>218411.9988168422</v>
      </c>
      <c r="AB55" s="46">
        <f>SUM(B55:Y55)</f>
        <v>436823.9976336844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77357.14285714286</v>
      </c>
      <c r="F66" s="36">
        <f>R66</f>
        <v>77357.14285714286</v>
      </c>
      <c r="G66" s="36">
        <f>S66</f>
        <v>77357.14285714286</v>
      </c>
      <c r="H66" s="36">
        <f>T66</f>
        <v>77357.14285714286</v>
      </c>
      <c r="I66" s="36">
        <f>U66</f>
        <v>77357.14285714286</v>
      </c>
      <c r="J66" s="36">
        <f>V66</f>
        <v>77357.14285714286</v>
      </c>
      <c r="K66" s="36">
        <f>W66</f>
        <v>77357.14285714286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77357.14285714286</v>
      </c>
      <c r="R66" s="46">
        <f>SUM(R67:R71)</f>
        <v>77357.14285714286</v>
      </c>
      <c r="S66" s="46">
        <f>SUM(S67:S71)</f>
        <v>77357.14285714286</v>
      </c>
      <c r="T66" s="46">
        <f>SUM(T67:T71)</f>
        <v>77357.14285714286</v>
      </c>
      <c r="U66" s="46">
        <f>SUM(U67:U71)</f>
        <v>77357.14285714286</v>
      </c>
      <c r="V66" s="46">
        <f>SUM(V67:V71)</f>
        <v>77357.14285714286</v>
      </c>
      <c r="W66" s="46">
        <f>SUM(W67:W71)</f>
        <v>77357.14285714286</v>
      </c>
      <c r="X66" s="46">
        <f>SUM(X67:X71)</f>
        <v>0</v>
      </c>
      <c r="Y66" s="46">
        <f>SUM(Y67:Y71)</f>
        <v>0</v>
      </c>
      <c r="Z66" s="46">
        <f>SUMIF($B$13:$Y$13,"Yes",B66:Y66)</f>
        <v>1083000</v>
      </c>
      <c r="AA66" s="46">
        <f>SUM(B66:M66)</f>
        <v>541500</v>
      </c>
      <c r="AB66" s="46">
        <f>SUM(B66:Y66)</f>
        <v>1083000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77357.14285714286</v>
      </c>
      <c r="F67" s="36">
        <f>R67</f>
        <v>77357.14285714286</v>
      </c>
      <c r="G67" s="36">
        <f>S67</f>
        <v>77357.14285714286</v>
      </c>
      <c r="H67" s="36">
        <f>T67</f>
        <v>77357.14285714286</v>
      </c>
      <c r="I67" s="36">
        <f>U67</f>
        <v>77357.14285714286</v>
      </c>
      <c r="J67" s="36">
        <f>V67</f>
        <v>77357.14285714286</v>
      </c>
      <c r="K67" s="36">
        <f>W67</f>
        <v>77357.14285714286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77357.14285714286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77357.14285714286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77357.14285714286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77357.14285714286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77357.14285714286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77357.14285714286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77357.14285714286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1083000</v>
      </c>
      <c r="AA67" s="46">
        <f>SUM(B67:M67)</f>
        <v>541500</v>
      </c>
      <c r="AB67" s="46">
        <f>SUM(B67:Y67)</f>
        <v>1083000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187500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187500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375000</v>
      </c>
      <c r="AA72" s="46">
        <f>SUM(B72:M72)</f>
        <v>187500</v>
      </c>
      <c r="AB72" s="46">
        <f>SUM(B72:Y72)</f>
        <v>375000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91249.99999999999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10000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60000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80000</v>
      </c>
      <c r="C79" s="46">
        <f>Inputs!$B$31</f>
        <v>80000</v>
      </c>
      <c r="D79" s="46">
        <f>Inputs!$B$31</f>
        <v>80000</v>
      </c>
      <c r="E79" s="46">
        <f>Inputs!$B$31</f>
        <v>80000</v>
      </c>
      <c r="F79" s="46">
        <f>Inputs!$B$31</f>
        <v>80000</v>
      </c>
      <c r="G79" s="46">
        <f>Inputs!$B$31</f>
        <v>80000</v>
      </c>
      <c r="H79" s="46">
        <f>Inputs!$B$31</f>
        <v>80000</v>
      </c>
      <c r="I79" s="46">
        <f>Inputs!$B$31</f>
        <v>80000</v>
      </c>
      <c r="J79" s="46">
        <f>Inputs!$B$31</f>
        <v>80000</v>
      </c>
      <c r="K79" s="46">
        <f>Inputs!$B$31</f>
        <v>80000</v>
      </c>
      <c r="L79" s="46">
        <f>Inputs!$B$31</f>
        <v>80000</v>
      </c>
      <c r="M79" s="46">
        <f>Inputs!$B$31</f>
        <v>80000</v>
      </c>
      <c r="N79" s="46">
        <f>Inputs!$B$31</f>
        <v>80000</v>
      </c>
      <c r="O79" s="46">
        <f>Inputs!$B$31</f>
        <v>80000</v>
      </c>
      <c r="P79" s="46">
        <f>Inputs!$B$31</f>
        <v>80000</v>
      </c>
      <c r="Q79" s="46">
        <f>Inputs!$B$31</f>
        <v>80000</v>
      </c>
      <c r="R79" s="46">
        <f>Inputs!$B$31</f>
        <v>80000</v>
      </c>
      <c r="S79" s="46">
        <f>Inputs!$B$31</f>
        <v>80000</v>
      </c>
      <c r="T79" s="46">
        <f>Inputs!$B$31</f>
        <v>80000</v>
      </c>
      <c r="U79" s="46">
        <f>Inputs!$B$31</f>
        <v>80000</v>
      </c>
      <c r="V79" s="46">
        <f>Inputs!$B$31</f>
        <v>80000</v>
      </c>
      <c r="W79" s="46">
        <f>Inputs!$B$31</f>
        <v>80000</v>
      </c>
      <c r="X79" s="46">
        <f>Inputs!$B$31</f>
        <v>80000</v>
      </c>
      <c r="Y79" s="46">
        <f>Inputs!$B$31</f>
        <v>80000</v>
      </c>
      <c r="Z79" s="46">
        <f>SUMIF($B$13:$Y$13,"Yes",B79:Y79)</f>
        <v>1920000</v>
      </c>
      <c r="AA79" s="46">
        <f>SUM(B79:M79)</f>
        <v>960000</v>
      </c>
      <c r="AB79" s="46">
        <f>SUM(B79:Y79)</f>
        <v>1920000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1500000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1500000</v>
      </c>
      <c r="AA80" s="46">
        <f>SUM(B80:M80)</f>
        <v>1500000</v>
      </c>
      <c r="AB80" s="46">
        <f>SUM(B80:Y80)</f>
        <v>1500000</v>
      </c>
    </row>
    <row r="81" spans="1:30">
      <c r="A81" s="43" t="s">
        <v>51</v>
      </c>
      <c r="B81" s="46">
        <f>(SUM($AA$18:$AA$29)-SUM($AA$36,$AA$42,$AA$48,$AA$54,$AA$60,$AA$66,$AA$72:$AA$79))*Parameters!$B$37/12</f>
        <v>65876.94313515991</v>
      </c>
      <c r="C81" s="46">
        <f>(SUM($AA$18:$AA$29)-SUM($AA$36,$AA$42,$AA$48,$AA$54,$AA$60,$AA$66,$AA$72:$AA$79))*Parameters!$B$37/12</f>
        <v>65876.94313515991</v>
      </c>
      <c r="D81" s="46">
        <f>(SUM($AA$18:$AA$29)-SUM($AA$36,$AA$42,$AA$48,$AA$54,$AA$60,$AA$66,$AA$72:$AA$79))*Parameters!$B$37/12</f>
        <v>65876.94313515991</v>
      </c>
      <c r="E81" s="46">
        <f>(SUM($AA$18:$AA$29)-SUM($AA$36,$AA$42,$AA$48,$AA$54,$AA$60,$AA$66,$AA$72:$AA$79))*Parameters!$B$37/12</f>
        <v>65876.94313515991</v>
      </c>
      <c r="F81" s="46">
        <f>(SUM($AA$18:$AA$29)-SUM($AA$36,$AA$42,$AA$48,$AA$54,$AA$60,$AA$66,$AA$72:$AA$79))*Parameters!$B$37/12</f>
        <v>65876.94313515991</v>
      </c>
      <c r="G81" s="46">
        <f>(SUM($AA$18:$AA$29)-SUM($AA$36,$AA$42,$AA$48,$AA$54,$AA$60,$AA$66,$AA$72:$AA$79))*Parameters!$B$37/12</f>
        <v>65876.94313515991</v>
      </c>
      <c r="H81" s="46">
        <f>(SUM($AA$18:$AA$29)-SUM($AA$36,$AA$42,$AA$48,$AA$54,$AA$60,$AA$66,$AA$72:$AA$79))*Parameters!$B$37/12</f>
        <v>65876.94313515991</v>
      </c>
      <c r="I81" s="46">
        <f>(SUM($AA$18:$AA$29)-SUM($AA$36,$AA$42,$AA$48,$AA$54,$AA$60,$AA$66,$AA$72:$AA$79))*Parameters!$B$37/12</f>
        <v>65876.94313515991</v>
      </c>
      <c r="J81" s="46">
        <f>(SUM($AA$18:$AA$29)-SUM($AA$36,$AA$42,$AA$48,$AA$54,$AA$60,$AA$66,$AA$72:$AA$79))*Parameters!$B$37/12</f>
        <v>65876.94313515991</v>
      </c>
      <c r="K81" s="46">
        <f>(SUM($AA$18:$AA$29)-SUM($AA$36,$AA$42,$AA$48,$AA$54,$AA$60,$AA$66,$AA$72:$AA$79))*Parameters!$B$37/12</f>
        <v>65876.94313515991</v>
      </c>
      <c r="L81" s="46">
        <f>(SUM($AA$18:$AA$29)-SUM($AA$36,$AA$42,$AA$48,$AA$54,$AA$60,$AA$66,$AA$72:$AA$79))*Parameters!$B$37/12</f>
        <v>65876.94313515991</v>
      </c>
      <c r="M81" s="46">
        <f>(SUM($AA$18:$AA$29)-SUM($AA$36,$AA$42,$AA$48,$AA$54,$AA$60,$AA$66,$AA$72:$AA$79))*Parameters!$B$37/12</f>
        <v>65876.94313515991</v>
      </c>
      <c r="N81" s="46">
        <f>(SUM($AA$18:$AA$29)-SUM($AA$36,$AA$42,$AA$48,$AA$54,$AA$60,$AA$66,$AA$72:$AA$79))*Parameters!$B$37/12</f>
        <v>65876.94313515991</v>
      </c>
      <c r="O81" s="46">
        <f>(SUM($AA$18:$AA$29)-SUM($AA$36,$AA$42,$AA$48,$AA$54,$AA$60,$AA$66,$AA$72:$AA$79))*Parameters!$B$37/12</f>
        <v>65876.94313515991</v>
      </c>
      <c r="P81" s="46">
        <f>(SUM($AA$18:$AA$29)-SUM($AA$36,$AA$42,$AA$48,$AA$54,$AA$60,$AA$66,$AA$72:$AA$79))*Parameters!$B$37/12</f>
        <v>65876.94313515991</v>
      </c>
      <c r="Q81" s="46">
        <f>(SUM($AA$18:$AA$29)-SUM($AA$36,$AA$42,$AA$48,$AA$54,$AA$60,$AA$66,$AA$72:$AA$79))*Parameters!$B$37/12</f>
        <v>65876.94313515991</v>
      </c>
      <c r="R81" s="46">
        <f>(SUM($AA$18:$AA$29)-SUM($AA$36,$AA$42,$AA$48,$AA$54,$AA$60,$AA$66,$AA$72:$AA$79))*Parameters!$B$37/12</f>
        <v>65876.94313515991</v>
      </c>
      <c r="S81" s="46">
        <f>(SUM($AA$18:$AA$29)-SUM($AA$36,$AA$42,$AA$48,$AA$54,$AA$60,$AA$66,$AA$72:$AA$79))*Parameters!$B$37/12</f>
        <v>65876.94313515991</v>
      </c>
      <c r="T81" s="46">
        <f>(SUM($AA$18:$AA$29)-SUM($AA$36,$AA$42,$AA$48,$AA$54,$AA$60,$AA$66,$AA$72:$AA$79))*Parameters!$B$37/12</f>
        <v>65876.94313515991</v>
      </c>
      <c r="U81" s="46">
        <f>(SUM($AA$18:$AA$29)-SUM($AA$36,$AA$42,$AA$48,$AA$54,$AA$60,$AA$66,$AA$72:$AA$79))*Parameters!$B$37/12</f>
        <v>65876.94313515991</v>
      </c>
      <c r="V81" s="46">
        <f>(SUM($AA$18:$AA$29)-SUM($AA$36,$AA$42,$AA$48,$AA$54,$AA$60,$AA$66,$AA$72:$AA$79))*Parameters!$B$37/12</f>
        <v>65876.94313515991</v>
      </c>
      <c r="W81" s="46">
        <f>(SUM($AA$18:$AA$29)-SUM($AA$36,$AA$42,$AA$48,$AA$54,$AA$60,$AA$66,$AA$72:$AA$79))*Parameters!$B$37/12</f>
        <v>65876.94313515991</v>
      </c>
      <c r="X81" s="46">
        <f>(SUM($AA$18:$AA$29)-SUM($AA$36,$AA$42,$AA$48,$AA$54,$AA$60,$AA$66,$AA$72:$AA$79))*Parameters!$B$37/12</f>
        <v>65876.94313515991</v>
      </c>
      <c r="Y81" s="46">
        <f>(SUM($AA$18:$AA$29)-SUM($AA$36,$AA$42,$AA$48,$AA$54,$AA$60,$AA$66,$AA$72:$AA$79))*Parameters!$B$37/12</f>
        <v>65876.94313515991</v>
      </c>
      <c r="Z81" s="46">
        <f>SUMIF($B$13:$Y$13,"Yes",B81:Y81)</f>
        <v>1581046.635243839</v>
      </c>
      <c r="AA81" s="46">
        <f>SUM(B81:M81)</f>
        <v>790523.3176219189</v>
      </c>
      <c r="AB81" s="46">
        <f>SUM(B81:Y81)</f>
        <v>1581046.635243839</v>
      </c>
    </row>
    <row r="82" spans="1:30">
      <c r="A82" s="16" t="s">
        <v>52</v>
      </c>
      <c r="B82" s="46">
        <f>SUM(B83:B87)</f>
        <v>198169.0958164643</v>
      </c>
      <c r="C82" s="46">
        <f>SUM(C83:C87)</f>
        <v>198169.0958164643</v>
      </c>
      <c r="D82" s="46">
        <f>SUM(D83:D87)</f>
        <v>198169.0958164643</v>
      </c>
      <c r="E82" s="46">
        <f>SUM(E83:E87)</f>
        <v>198169.0958164643</v>
      </c>
      <c r="F82" s="46">
        <f>SUM(F83:F87)</f>
        <v>198169.0958164643</v>
      </c>
      <c r="G82" s="46">
        <f>SUM(G83:G87)</f>
        <v>198169.0958164643</v>
      </c>
      <c r="H82" s="46">
        <f>SUM(H83:H87)</f>
        <v>198169.0958164643</v>
      </c>
      <c r="I82" s="46">
        <f>SUM(I83:I87)</f>
        <v>226011.2010796221</v>
      </c>
      <c r="J82" s="46">
        <f>SUM(J83:J87)</f>
        <v>164959.358974359</v>
      </c>
      <c r="K82" s="46">
        <f>SUM(K83:K87)</f>
        <v>164959.358974359</v>
      </c>
      <c r="L82" s="46">
        <f>SUM(L83:L87)</f>
        <v>164959.358974359</v>
      </c>
      <c r="M82" s="46">
        <f>SUM(M83:M87)</f>
        <v>164959.358974359</v>
      </c>
      <c r="N82" s="46">
        <f>SUM(N83:N87)</f>
        <v>164959.358974359</v>
      </c>
      <c r="O82" s="46">
        <f>SUM(O83:O87)</f>
        <v>164959.358974359</v>
      </c>
      <c r="P82" s="46">
        <f>SUM(P83:P87)</f>
        <v>164959.358974359</v>
      </c>
      <c r="Q82" s="46">
        <f>SUM(Q83:Q87)</f>
        <v>164959.358974359</v>
      </c>
      <c r="R82" s="46">
        <f>SUM(R83:R87)</f>
        <v>164959.358974359</v>
      </c>
      <c r="S82" s="46">
        <f>SUM(S83:S87)</f>
        <v>164959.358974359</v>
      </c>
      <c r="T82" s="46">
        <f>SUM(T83:T87)</f>
        <v>164959.358974359</v>
      </c>
      <c r="U82" s="46">
        <f>SUM(U83:U87)</f>
        <v>164959.358974359</v>
      </c>
      <c r="V82" s="46">
        <f>SUM(V83:V87)</f>
        <v>164959.358974359</v>
      </c>
      <c r="W82" s="46">
        <f>SUM(W83:W87)</f>
        <v>164959.358974359</v>
      </c>
      <c r="X82" s="46">
        <f>SUM(X83:X87)</f>
        <v>164959.358974359</v>
      </c>
      <c r="Y82" s="46">
        <f>SUM(Y83:Y87)</f>
        <v>164959.358974359</v>
      </c>
      <c r="Z82" s="46">
        <f>SUMIF($B$13:$Y$13,"Yes",B82:Y82)</f>
        <v>4252544.615384616</v>
      </c>
      <c r="AA82" s="46">
        <f>SUM(B82:M82)</f>
        <v>2273032.307692308</v>
      </c>
      <c r="AB82" s="46">
        <f>SUM(B82:Y82)</f>
        <v>4252544.615384616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164959.358974359</v>
      </c>
      <c r="C83" s="46">
        <f>IF(Calculations!$E23&gt;COUNT(Output!$B$35:C$35),Calculations!$B23,IF(Calculations!$E23=COUNT(Output!$B$35:C$35),Inputs!$B56-Calculations!$C23*(Calculations!$E23-1)+Calculations!$D23,0))</f>
        <v>164959.358974359</v>
      </c>
      <c r="D83" s="46">
        <f>IF(Calculations!$E23&gt;COUNT(Output!$B$35:D$35),Calculations!$B23,IF(Calculations!$E23=COUNT(Output!$B$35:D$35),Inputs!$B56-Calculations!$C23*(Calculations!$E23-1)+Calculations!$D23,0))</f>
        <v>164959.358974359</v>
      </c>
      <c r="E83" s="46">
        <f>IF(Calculations!$E23&gt;COUNT(Output!$B$35:E$35),Calculations!$B23,IF(Calculations!$E23=COUNT(Output!$B$35:E$35),Inputs!$B56-Calculations!$C23*(Calculations!$E23-1)+Calculations!$D23,0))</f>
        <v>164959.358974359</v>
      </c>
      <c r="F83" s="46">
        <f>IF(Calculations!$E23&gt;COUNT(Output!$B$35:F$35),Calculations!$B23,IF(Calculations!$E23=COUNT(Output!$B$35:F$35),Inputs!$B56-Calculations!$C23*(Calculations!$E23-1)+Calculations!$D23,0))</f>
        <v>164959.358974359</v>
      </c>
      <c r="G83" s="46">
        <f>IF(Calculations!$E23&gt;COUNT(Output!$B$35:G$35),Calculations!$B23,IF(Calculations!$E23=COUNT(Output!$B$35:G$35),Inputs!$B56-Calculations!$C23*(Calculations!$E23-1)+Calculations!$D23,0))</f>
        <v>164959.358974359</v>
      </c>
      <c r="H83" s="46">
        <f>IF(Calculations!$E23&gt;COUNT(Output!$B$35:H$35),Calculations!$B23,IF(Calculations!$E23=COUNT(Output!$B$35:H$35),Inputs!$B56-Calculations!$C23*(Calculations!$E23-1)+Calculations!$D23,0))</f>
        <v>164959.358974359</v>
      </c>
      <c r="I83" s="46">
        <f>IF(Calculations!$E23&gt;COUNT(Output!$B$35:I$35),Calculations!$B23,IF(Calculations!$E23=COUNT(Output!$B$35:I$35),Inputs!$B56-Calculations!$C23*(Calculations!$E23-1)+Calculations!$D23,0))</f>
        <v>164959.358974359</v>
      </c>
      <c r="J83" s="46">
        <f>IF(Calculations!$E23&gt;COUNT(Output!$B$35:J$35),Calculations!$B23,IF(Calculations!$E23=COUNT(Output!$B$35:J$35),Inputs!$B56-Calculations!$C23*(Calculations!$E23-1)+Calculations!$D23,0))</f>
        <v>164959.358974359</v>
      </c>
      <c r="K83" s="46">
        <f>IF(Calculations!$E23&gt;COUNT(Output!$B$35:K$35),Calculations!$B23,IF(Calculations!$E23=COUNT(Output!$B$35:K$35),Inputs!$B56-Calculations!$C23*(Calculations!$E23-1)+Calculations!$D23,0))</f>
        <v>164959.358974359</v>
      </c>
      <c r="L83" s="46">
        <f>IF(Calculations!$E23&gt;COUNT(Output!$B$35:L$35),Calculations!$B23,IF(Calculations!$E23=COUNT(Output!$B$35:L$35),Inputs!$B56-Calculations!$C23*(Calculations!$E23-1)+Calculations!$D23,0))</f>
        <v>164959.358974359</v>
      </c>
      <c r="M83" s="46">
        <f>IF(Calculations!$E23&gt;COUNT(Output!$B$35:M$35),Calculations!$B23,IF(Calculations!$E23=COUNT(Output!$B$35:M$35),Inputs!$B56-Calculations!$C23*(Calculations!$E23-1)+Calculations!$D23,0))</f>
        <v>164959.358974359</v>
      </c>
      <c r="N83" s="46">
        <f>IF(Calculations!$E23&gt;COUNT(Output!$B$35:N$35),Calculations!$B23,IF(Calculations!$E23=COUNT(Output!$B$35:N$35),Inputs!$B56-Calculations!$C23*(Calculations!$E23-1)+Calculations!$D23,0))</f>
        <v>164959.358974359</v>
      </c>
      <c r="O83" s="46">
        <f>IF(Calculations!$E23&gt;COUNT(Output!$B$35:O$35),Calculations!$B23,IF(Calculations!$E23=COUNT(Output!$B$35:O$35),Inputs!$B56-Calculations!$C23*(Calculations!$E23-1)+Calculations!$D23,0))</f>
        <v>164959.358974359</v>
      </c>
      <c r="P83" s="46">
        <f>IF(Calculations!$E23&gt;COUNT(Output!$B$35:P$35),Calculations!$B23,IF(Calculations!$E23=COUNT(Output!$B$35:P$35),Inputs!$B56-Calculations!$C23*(Calculations!$E23-1)+Calculations!$D23,0))</f>
        <v>164959.358974359</v>
      </c>
      <c r="Q83" s="46">
        <f>IF(Calculations!$E23&gt;COUNT(Output!$B$35:Q$35),Calculations!$B23,IF(Calculations!$E23=COUNT(Output!$B$35:Q$35),Inputs!$B56-Calculations!$C23*(Calculations!$E23-1)+Calculations!$D23,0))</f>
        <v>164959.358974359</v>
      </c>
      <c r="R83" s="46">
        <f>IF(Calculations!$E23&gt;COUNT(Output!$B$35:R$35),Calculations!$B23,IF(Calculations!$E23=COUNT(Output!$B$35:R$35),Inputs!$B56-Calculations!$C23*(Calculations!$E23-1)+Calculations!$D23,0))</f>
        <v>164959.358974359</v>
      </c>
      <c r="S83" s="46">
        <f>IF(Calculations!$E23&gt;COUNT(Output!$B$35:S$35),Calculations!$B23,IF(Calculations!$E23=COUNT(Output!$B$35:S$35),Inputs!$B56-Calculations!$C23*(Calculations!$E23-1)+Calculations!$D23,0))</f>
        <v>164959.358974359</v>
      </c>
      <c r="T83" s="46">
        <f>IF(Calculations!$E23&gt;COUNT(Output!$B$35:T$35),Calculations!$B23,IF(Calculations!$E23=COUNT(Output!$B$35:T$35),Inputs!$B56-Calculations!$C23*(Calculations!$E23-1)+Calculations!$D23,0))</f>
        <v>164959.358974359</v>
      </c>
      <c r="U83" s="46">
        <f>IF(Calculations!$E23&gt;COUNT(Output!$B$35:U$35),Calculations!$B23,IF(Calculations!$E23=COUNT(Output!$B$35:U$35),Inputs!$B56-Calculations!$C23*(Calculations!$E23-1)+Calculations!$D23,0))</f>
        <v>164959.358974359</v>
      </c>
      <c r="V83" s="46">
        <f>IF(Calculations!$E23&gt;COUNT(Output!$B$35:V$35),Calculations!$B23,IF(Calculations!$E23=COUNT(Output!$B$35:V$35),Inputs!$B56-Calculations!$C23*(Calculations!$E23-1)+Calculations!$D23,0))</f>
        <v>164959.358974359</v>
      </c>
      <c r="W83" s="46">
        <f>IF(Calculations!$E23&gt;COUNT(Output!$B$35:W$35),Calculations!$B23,IF(Calculations!$E23=COUNT(Output!$B$35:W$35),Inputs!$B56-Calculations!$C23*(Calculations!$E23-1)+Calculations!$D23,0))</f>
        <v>164959.358974359</v>
      </c>
      <c r="X83" s="46">
        <f>IF(Calculations!$E23&gt;COUNT(Output!$B$35:X$35),Calculations!$B23,IF(Calculations!$E23=COUNT(Output!$B$35:X$35),Inputs!$B56-Calculations!$C23*(Calculations!$E23-1)+Calculations!$D23,0))</f>
        <v>164959.358974359</v>
      </c>
      <c r="Y83" s="46">
        <f>IF(Calculations!$E23&gt;COUNT(Output!$B$35:Y$35),Calculations!$B23,IF(Calculations!$E23=COUNT(Output!$B$35:Y$35),Inputs!$B56-Calculations!$C23*(Calculations!$E23-1)+Calculations!$D23,0))</f>
        <v>164959.358974359</v>
      </c>
      <c r="Z83" s="46">
        <f>SUMIF($B$13:$Y$13,"Yes",B83:Y83)</f>
        <v>3959024.615384616</v>
      </c>
      <c r="AA83" s="46">
        <f>SUM(B83:M83)</f>
        <v>1979512.307692308</v>
      </c>
      <c r="AB83" s="46">
        <f>SUM(B83:Y83)</f>
        <v>3959024.615384616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33209.73684210527</v>
      </c>
      <c r="C84" s="46">
        <f>IF(Calculations!$E24&gt;COUNT(Output!$B$35:C$35),Calculations!$B24,IF(Calculations!$E24=COUNT(Output!$B$35:C$35),Inputs!$B57-Calculations!$C24*(Calculations!$E24-1)+Calculations!$D24,0))</f>
        <v>33209.73684210527</v>
      </c>
      <c r="D84" s="46">
        <f>IF(Calculations!$E24&gt;COUNT(Output!$B$35:D$35),Calculations!$B24,IF(Calculations!$E24=COUNT(Output!$B$35:D$35),Inputs!$B57-Calculations!$C24*(Calculations!$E24-1)+Calculations!$D24,0))</f>
        <v>33209.73684210527</v>
      </c>
      <c r="E84" s="46">
        <f>IF(Calculations!$E24&gt;COUNT(Output!$B$35:E$35),Calculations!$B24,IF(Calculations!$E24=COUNT(Output!$B$35:E$35),Inputs!$B57-Calculations!$C24*(Calculations!$E24-1)+Calculations!$D24,0))</f>
        <v>33209.73684210527</v>
      </c>
      <c r="F84" s="46">
        <f>IF(Calculations!$E24&gt;COUNT(Output!$B$35:F$35),Calculations!$B24,IF(Calculations!$E24=COUNT(Output!$B$35:F$35),Inputs!$B57-Calculations!$C24*(Calculations!$E24-1)+Calculations!$D24,0))</f>
        <v>33209.73684210527</v>
      </c>
      <c r="G84" s="46">
        <f>IF(Calculations!$E24&gt;COUNT(Output!$B$35:G$35),Calculations!$B24,IF(Calculations!$E24=COUNT(Output!$B$35:G$35),Inputs!$B57-Calculations!$C24*(Calculations!$E24-1)+Calculations!$D24,0))</f>
        <v>33209.73684210527</v>
      </c>
      <c r="H84" s="46">
        <f>IF(Calculations!$E24&gt;COUNT(Output!$B$35:H$35),Calculations!$B24,IF(Calculations!$E24=COUNT(Output!$B$35:H$35),Inputs!$B57-Calculations!$C24*(Calculations!$E24-1)+Calculations!$D24,0))</f>
        <v>33209.73684210527</v>
      </c>
      <c r="I84" s="46">
        <f>IF(Calculations!$E24&gt;COUNT(Output!$B$35:I$35),Calculations!$B24,IF(Calculations!$E24=COUNT(Output!$B$35:I$35),Inputs!$B57-Calculations!$C24*(Calculations!$E24-1)+Calculations!$D24,0))</f>
        <v>61051.84210526315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293520.0000000001</v>
      </c>
      <c r="AA84" s="46">
        <f>SUM(B84:M84)</f>
        <v>293520.0000000001</v>
      </c>
      <c r="AB84" s="46">
        <f>SUM(B84:Y84)</f>
        <v>293520.0000000001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538264.7889516242</v>
      </c>
      <c r="C88" s="19">
        <f>SUM(C72:C82,C66,C60,C54,C48,C42,C36)</f>
        <v>1850764.788951624</v>
      </c>
      <c r="D88" s="19">
        <f>SUM(D72:D82,D66,D60,D54,D48,D42,D36)</f>
        <v>350764.7889516242</v>
      </c>
      <c r="E88" s="19">
        <f>SUM(E72:E82,E66,E60,E54,E48,E42,E36)</f>
        <v>443271.931808767</v>
      </c>
      <c r="F88" s="19">
        <f>SUM(F72:F82,F66,F60,F54,F48,F42,F36)</f>
        <v>428121.931808767</v>
      </c>
      <c r="G88" s="19">
        <f>SUM(G72:G82,G66,G60,G54,G48,G42,G36)</f>
        <v>428121.931808767</v>
      </c>
      <c r="H88" s="19">
        <f>SUM(H72:H82,H66,H60,H54,H48,H42,H36)</f>
        <v>443121.931808767</v>
      </c>
      <c r="I88" s="19">
        <f>SUM(I72:I82,I66,I60,I54,I48,I42,I36)</f>
        <v>455964.0370719249</v>
      </c>
      <c r="J88" s="19">
        <f>SUM(J72:J82,J66,J60,J54,J48,J42,J36)</f>
        <v>394912.1949666617</v>
      </c>
      <c r="K88" s="19">
        <f>SUM(K72:K82,K66,K60,K54,K48,K42,K36)</f>
        <v>613324.193783504</v>
      </c>
      <c r="L88" s="19">
        <f>SUM(L72:L82,L66,L60,L54,L48,L42,L36)</f>
        <v>317555.0521095189</v>
      </c>
      <c r="M88" s="19">
        <f>SUM(M72:M82,M66,M60,M54,M48,M42,M36)</f>
        <v>317555.0521095189</v>
      </c>
      <c r="N88" s="19">
        <f>SUM(N72:N82,N66,N60,N54,N48,N42,N36)</f>
        <v>505055.0521095189</v>
      </c>
      <c r="O88" s="19">
        <f>SUM(O72:O82,O66,O60,O54,O48,O42,O36)</f>
        <v>317555.0521095189</v>
      </c>
      <c r="P88" s="19">
        <f>SUM(P72:P82,P66,P60,P54,P48,P42,P36)</f>
        <v>317555.0521095189</v>
      </c>
      <c r="Q88" s="19">
        <f>SUM(Q72:Q82,Q66,Q60,Q54,Q48,Q42,Q36)</f>
        <v>410062.1949666617</v>
      </c>
      <c r="R88" s="19">
        <f>SUM(R72:R82,R66,R60,R54,R48,R42,R36)</f>
        <v>394912.1949666617</v>
      </c>
      <c r="S88" s="19">
        <f>SUM(S72:S82,S66,S60,S54,S48,S42,S36)</f>
        <v>394912.1949666617</v>
      </c>
      <c r="T88" s="19">
        <f>SUM(T72:T82,T66,T60,T54,T48,T42,T36)</f>
        <v>409912.1949666617</v>
      </c>
      <c r="U88" s="19">
        <f>SUM(U72:U82,U66,U60,U54,U48,U42,U36)</f>
        <v>394912.1949666617</v>
      </c>
      <c r="V88" s="19">
        <f>SUM(V72:V82,V66,V60,V54,V48,V42,V36)</f>
        <v>394912.1949666617</v>
      </c>
      <c r="W88" s="19">
        <f>SUM(W72:W82,W66,W60,W54,W48,W42,W36)</f>
        <v>613324.193783504</v>
      </c>
      <c r="X88" s="19">
        <f>SUM(X72:X82,X66,X60,X54,X48,X42,X36)</f>
        <v>317555.0521095189</v>
      </c>
      <c r="Y88" s="19">
        <f>SUM(Y72:Y82,Y66,Y60,Y54,Y48,Y42,Y36)</f>
        <v>317555.0521095189</v>
      </c>
      <c r="Z88" s="19">
        <f>SUMIF($B$13:$Y$13,"Yes",B88:Y88)</f>
        <v>11369965.24826214</v>
      </c>
      <c r="AA88" s="19">
        <f>SUM(B88:M88)</f>
        <v>6581742.624131069</v>
      </c>
      <c r="AB88" s="19">
        <f>SUM(B88:Y88)</f>
        <v>11369965.24826214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350000</v>
      </c>
    </row>
    <row r="95" spans="1:30">
      <c r="A95" t="s">
        <v>61</v>
      </c>
      <c r="B95" s="36">
        <f>Inputs!B47</f>
        <v>1350000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3500000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9200000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4196678</v>
      </c>
    </row>
    <row r="106" spans="1:30" customHeight="1" ht="15.75">
      <c r="A106" s="18" t="s">
        <v>71</v>
      </c>
      <c r="B106" s="37">
        <f>Calculations!G35</f>
        <v>1500000</v>
      </c>
    </row>
    <row r="107" spans="1:30" customHeight="1" ht="15.75">
      <c r="A107" s="1" t="s">
        <v>72</v>
      </c>
      <c r="B107" s="19">
        <f>SUM(B104:B106)</f>
        <v>5696678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3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200000</v>
      </c>
    </row>
    <row r="31" spans="1:48">
      <c r="A31" s="5" t="s">
        <v>116</v>
      </c>
      <c r="B31" s="158">
        <v>80000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1500000</v>
      </c>
      <c r="C35" s="145" t="s">
        <v>123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93</v>
      </c>
    </row>
    <row r="41" spans="1:48">
      <c r="A41" s="55" t="s">
        <v>126</v>
      </c>
      <c r="B41" s="140">
        <v>187500</v>
      </c>
    </row>
    <row r="42" spans="1:48">
      <c r="A42" s="55" t="s">
        <v>127</v>
      </c>
      <c r="B42" s="139" t="s">
        <v>128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2000000</v>
      </c>
    </row>
    <row r="46" spans="1:48" customHeight="1" ht="30">
      <c r="A46" s="57" t="s">
        <v>133</v>
      </c>
      <c r="B46" s="161">
        <v>3500000</v>
      </c>
    </row>
    <row r="47" spans="1:48" customHeight="1" ht="30">
      <c r="A47" s="57" t="s">
        <v>134</v>
      </c>
      <c r="B47" s="161">
        <v>1350000</v>
      </c>
    </row>
    <row r="48" spans="1:48" customHeight="1" ht="30">
      <c r="A48" s="57" t="s">
        <v>135</v>
      </c>
      <c r="B48" s="161">
        <v>1000000</v>
      </c>
    </row>
    <row r="49" spans="1:48" customHeight="1" ht="30">
      <c r="A49" s="57" t="s">
        <v>136</v>
      </c>
      <c r="B49" s="161">
        <v>350000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4400000</v>
      </c>
      <c r="B56" s="159">
        <v>3961678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399000</v>
      </c>
      <c r="B57" s="157">
        <v>235000</v>
      </c>
      <c r="C57" s="164" t="s">
        <v>148</v>
      </c>
      <c r="D57" s="165" t="s">
        <v>149</v>
      </c>
      <c r="E57" s="165" t="s">
        <v>92</v>
      </c>
      <c r="F57" s="165" t="s">
        <v>147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151</v>
      </c>
      <c r="C65" s="10" t="s">
        <v>152</v>
      </c>
    </row>
    <row r="66" spans="1:48">
      <c r="A66" s="142" t="s">
        <v>128</v>
      </c>
      <c r="B66" s="159">
        <v>2000000</v>
      </c>
      <c r="C66" s="163">
        <v>1500000</v>
      </c>
      <c r="D66" s="49">
        <f>INDEX(Parameters!$D$79:$D$90,MATCH(Inputs!A66,Parameters!$C$79:$C$90,0))</f>
        <v>12</v>
      </c>
    </row>
    <row r="67" spans="1:48">
      <c r="A67" s="143" t="s">
        <v>123</v>
      </c>
      <c r="B67" s="157">
        <v>750000</v>
      </c>
      <c r="C67" s="165">
        <v>650000</v>
      </c>
      <c r="D67" s="49">
        <f>INDEX(Parameters!$D$79:$D$90,MATCH(Inputs!A67,Parameters!$C$79:$C$90,0))</f>
        <v>1</v>
      </c>
    </row>
    <row r="68" spans="1:48">
      <c r="A68" s="143" t="s">
        <v>153</v>
      </c>
      <c r="B68" s="157">
        <v>1800000</v>
      </c>
      <c r="C68" s="165">
        <v>1500000</v>
      </c>
      <c r="D68" s="49">
        <f>INDEX(Parameters!$D$79:$D$90,MATCH(Inputs!A68,Parameters!$C$79:$C$90,0))</f>
        <v>2</v>
      </c>
    </row>
    <row r="69" spans="1:48">
      <c r="A69" s="143" t="s">
        <v>94</v>
      </c>
      <c r="B69" s="157">
        <v>1500000</v>
      </c>
      <c r="C69" s="165">
        <v>1450000</v>
      </c>
      <c r="D69" s="49">
        <f>INDEX(Parameters!$D$79:$D$90,MATCH(Inputs!A69,Parameters!$C$79:$C$90,0))</f>
        <v>3</v>
      </c>
    </row>
    <row r="70" spans="1:48">
      <c r="A70" s="143" t="s">
        <v>154</v>
      </c>
      <c r="B70" s="157">
        <v>1600000</v>
      </c>
      <c r="C70" s="165">
        <v>1500000</v>
      </c>
      <c r="D70" s="49">
        <f>INDEX(Parameters!$D$79:$D$90,MATCH(Inputs!A70,Parameters!$C$79:$C$90,0))</f>
        <v>4</v>
      </c>
    </row>
    <row r="71" spans="1:48">
      <c r="A71" s="144" t="s">
        <v>155</v>
      </c>
      <c r="B71" s="158">
        <v>1000000</v>
      </c>
      <c r="C71" s="167">
        <v>850000</v>
      </c>
      <c r="D71" s="49">
        <f>INDEX(Parameters!$D$79:$D$90,MATCH(Inputs!A71,Parameters!$C$79:$C$90,0))</f>
        <v>5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20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43252</v>
      </c>
      <c r="D4" s="38">
        <f>IFERROR(DATE(YEAR(B4),MONTH(B4)+T4,DAY(B4)),"")</f>
        <v>43344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43344</v>
      </c>
      <c r="H4" s="20">
        <f>Inputs!C7</f>
        <v>25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47480.86930800918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947243.3426947831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7575.000000000002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7500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109205.9994084211</v>
      </c>
      <c r="AB4" s="33">
        <f>H4*IFERROR(INDEX(Parameters!$A$3:$AI$17,MATCH(Calculations!A4,Parameters!$A$3:$A$17,0),MATCH(Parameters!$O$3,Parameters!$A$3:$AI$3,0)),AVERAGE(Parameters!$O$4:$O$17))*(1-Inputs!$B$25/100)</f>
        <v>285000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4400000</v>
      </c>
      <c r="B23" s="75">
        <f>SUM(C23:D23)</f>
        <v>164959.358974359</v>
      </c>
      <c r="C23" s="75">
        <f>IF(Inputs!B56&gt;0,(Inputs!A56-Inputs!B56)/(DATE(YEAR(Inputs!$B$76),MONTH(Inputs!$B$76),DAY(Inputs!$B$76))-DATE(YEAR(Inputs!C56),MONTH(Inputs!C56),DAY(Inputs!C56)))*30,0)</f>
        <v>84292.69230769231</v>
      </c>
      <c r="D23" s="75">
        <f>IF(Inputs!B56&gt;0,Inputs!A56*0.22/12,0)</f>
        <v>80666.66666666667</v>
      </c>
      <c r="E23" s="75">
        <f>IFERROR(ROUNDUP(Inputs!B56/C23,0),0)</f>
        <v>47</v>
      </c>
    </row>
    <row r="24" spans="1:52">
      <c r="A24" s="46">
        <f>Inputs!A57</f>
        <v>399000</v>
      </c>
      <c r="B24" s="46">
        <f>SUM(C24:D24)</f>
        <v>33209.73684210527</v>
      </c>
      <c r="C24" s="46">
        <f>IF(Inputs!B57&gt;0,(Inputs!A57-Inputs!B57)/(DATE(YEAR(Inputs!$B$76),MONTH(Inputs!$B$76),DAY(Inputs!$B$76))-DATE(YEAR(Inputs!C57),MONTH(Inputs!C57),DAY(Inputs!C57)))*30,0)</f>
        <v>25894.73684210526</v>
      </c>
      <c r="D24" s="46">
        <f>IF(Inputs!B57&gt;0,Inputs!A57*0.22/12,0)</f>
        <v>7315</v>
      </c>
      <c r="E24" s="46">
        <f>IFERROR(ROUNDUP(Inputs!B57/B24,0),0)</f>
        <v>8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43127</v>
      </c>
      <c r="C33" s="27">
        <f>IF(B33&lt;&gt;"",IF(COUNT($A$33:A33)&lt;=$G$39,0,$G$41)+IF(COUNT($A$33:A33)&lt;=$G$40,0,$G$42),0)</f>
        <v>87500</v>
      </c>
      <c r="D33" s="170">
        <f>IFERROR(DATE(YEAR(B33),MONTH(B33),1)," ")</f>
        <v>43101</v>
      </c>
      <c r="F33" t="s">
        <v>161</v>
      </c>
      <c r="G33" s="128">
        <f>IF(Inputs!B79="","",DATE(YEAR(Inputs!B79),MONTH(Inputs!B79),DAY(Inputs!B79)))</f>
        <v>43096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43158</v>
      </c>
      <c r="C34" s="27">
        <f>IF(B34&lt;&gt;"",IF(COUNT($A$33:A34)&lt;=$G$39,0,$G$41)+IF(COUNT($A$33:A34)&lt;=$G$40,0,$G$42),0)</f>
        <v>87500</v>
      </c>
      <c r="D34" s="170">
        <f>IFERROR(DATE(YEAR(B34),MONTH(B34),1)," ")</f>
        <v>43132</v>
      </c>
      <c r="F34" t="s">
        <v>162</v>
      </c>
      <c r="G34" s="128">
        <f>IF(Inputs!B80="","",DATE(YEAR(Inputs!B80),MONTH(Inputs!B80),DAY(Inputs!B80)))</f>
        <v>43127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43186</v>
      </c>
      <c r="C35" s="27">
        <f>IF(B35&lt;&gt;"",IF(COUNT($A$33:A35)&lt;=$G$39,0,$G$41)+IF(COUNT($A$33:A35)&lt;=$G$40,0,$G$42),0)</f>
        <v>87500</v>
      </c>
      <c r="D35" s="170">
        <f>IFERROR(DATE(YEAR(B35),MONTH(B35),1)," ")</f>
        <v>43160</v>
      </c>
      <c r="F35" t="s">
        <v>164</v>
      </c>
      <c r="G35" s="27">
        <f>Inputs!B81</f>
        <v>1500000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43217</v>
      </c>
      <c r="C36" s="27">
        <f>IF(B36&lt;&gt;"",IF(COUNT($A$33:A36)&lt;=$G$39,0,$G$41)+IF(COUNT($A$33:A36)&lt;=$G$40,0,$G$42),0)</f>
        <v>87500</v>
      </c>
      <c r="D36" s="170">
        <f>IFERROR(DATE(YEAR(B36),MONTH(B36),1)," ")</f>
        <v>43191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43247</v>
      </c>
      <c r="C37" s="27">
        <f>IF(B37&lt;&gt;"",IF(COUNT($A$33:A37)&lt;=$G$39,0,$G$41)+IF(COUNT($A$33:A37)&lt;=$G$40,0,$G$42),0)</f>
        <v>87500</v>
      </c>
      <c r="D37" s="170">
        <f>IFERROR(DATE(YEAR(B37),MONTH(B37),1)," ")</f>
        <v>43221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43278</v>
      </c>
      <c r="C38" s="27">
        <f>IF(B38&lt;&gt;"",IF(COUNT($A$33:A38)&lt;=$G$39,0,$G$41)+IF(COUNT($A$33:A38)&lt;=$G$40,0,$G$42),0)</f>
        <v>87500</v>
      </c>
      <c r="D38" s="170">
        <f>IFERROR(DATE(YEAR(B38),MONTH(B38),1)," ")</f>
        <v>43252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43308</v>
      </c>
      <c r="C39" s="27">
        <f>IF(B39&lt;&gt;"",IF(COUNT($A$33:A39)&lt;=$G$39,0,$G$41)+IF(COUNT($A$33:A39)&lt;=$G$40,0,$G$42),0)</f>
        <v>87500</v>
      </c>
      <c r="D39" s="170">
        <f>IFERROR(DATE(YEAR(B39),MONTH(B39),1)," ")</f>
        <v>43282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43339</v>
      </c>
      <c r="C40" s="27">
        <f>IF(B40&lt;&gt;"",IF(COUNT($A$33:A40)&lt;=$G$39,0,$G$41)+IF(COUNT($A$33:A40)&lt;=$G$40,0,$G$42),0)</f>
        <v>87500</v>
      </c>
      <c r="D40" s="170">
        <f>IFERROR(DATE(YEAR(B40),MONTH(B40),1)," ")</f>
        <v>43313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43370</v>
      </c>
      <c r="C41" s="27">
        <f>IF(B41&lt;&gt;"",IF(COUNT($A$33:A41)&lt;=$G$39,0,$G$41)+IF(COUNT($A$33:A41)&lt;=$G$40,0,$G$42),0)</f>
        <v>87500</v>
      </c>
      <c r="D41" s="170">
        <f>IFERROR(DATE(YEAR(B41),MONTH(B41),1)," ")</f>
        <v>43344</v>
      </c>
      <c r="F41" t="s">
        <v>228</v>
      </c>
      <c r="G41" s="73">
        <f>IFERROR(G35/(G38-G39),"")</f>
        <v>62500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43400</v>
      </c>
      <c r="C42" s="27">
        <f>IF(B42&lt;&gt;"",IF(COUNT($A$33:A42)&lt;=$G$39,0,$G$41)+IF(COUNT($A$33:A42)&lt;=$G$40,0,$G$42),0)</f>
        <v>87500</v>
      </c>
      <c r="D42" s="170">
        <f>IFERROR(DATE(YEAR(B42),MONTH(B42),1)," ")</f>
        <v>43374</v>
      </c>
      <c r="F42" t="s">
        <v>229</v>
      </c>
      <c r="G42" s="73">
        <f>IFERROR(G35*G36*IF(G37="Monthly",G38/12,IF(G37="Fortnightly",G38/(365/14),G38/(365/28)))/(G38-G40),"")</f>
        <v>25000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43431</v>
      </c>
      <c r="C43" s="27">
        <f>IF(B43&lt;&gt;"",IF(COUNT($A$33:A43)&lt;=$G$39,0,$G$41)+IF(COUNT($A$33:A43)&lt;=$G$40,0,$G$42),0)</f>
        <v>87500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43461</v>
      </c>
      <c r="C44" s="27">
        <f>IF(B44&lt;&gt;"",IF(COUNT($A$33:A44)&lt;=$G$39,0,$G$41)+IF(COUNT($A$33:A44)&lt;=$G$40,0,$G$42),0)</f>
        <v>87500</v>
      </c>
      <c r="D44" s="170">
        <f>IFERROR(DATE(YEAR(B44),MONTH(B44),1)," ")</f>
        <v>43435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43492</v>
      </c>
      <c r="C45" s="27">
        <f>IF(B45&lt;&gt;"",IF(COUNT($A$33:A45)&lt;=$G$39,0,$G$41)+IF(COUNT($A$33:A45)&lt;=$G$40,0,$G$42),0)</f>
        <v>87500</v>
      </c>
      <c r="D45" s="170">
        <f>IFERROR(DATE(YEAR(B45),MONTH(B45),1)," ")</f>
        <v>43466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43523</v>
      </c>
      <c r="C46" s="27">
        <f>IF(B46&lt;&gt;"",IF(COUNT($A$33:A46)&lt;=$G$39,0,$G$41)+IF(COUNT($A$33:A46)&lt;=$G$40,0,$G$42),0)</f>
        <v>87500</v>
      </c>
      <c r="D46" s="170">
        <f>IFERROR(DATE(YEAR(B46),MONTH(B46),1)," ")</f>
        <v>43497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43551</v>
      </c>
      <c r="C47" s="27">
        <f>IF(B47&lt;&gt;"",IF(COUNT($A$33:A47)&lt;=$G$39,0,$G$41)+IF(COUNT($A$33:A47)&lt;=$G$40,0,$G$42),0)</f>
        <v>87500</v>
      </c>
      <c r="D47" s="170">
        <f>IFERROR(DATE(YEAR(B47),MONTH(B47),1)," ")</f>
        <v>43525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43582</v>
      </c>
      <c r="C48" s="27">
        <f>IF(B48&lt;&gt;"",IF(COUNT($A$33:A48)&lt;=$G$39,0,$G$41)+IF(COUNT($A$33:A48)&lt;=$G$40,0,$G$42),0)</f>
        <v>87500</v>
      </c>
      <c r="D48" s="170">
        <f>IFERROR(DATE(YEAR(B48),MONTH(B48),1)," ")</f>
        <v>43556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43612</v>
      </c>
      <c r="C49" s="27">
        <f>IF(B49&lt;&gt;"",IF(COUNT($A$33:A49)&lt;=$G$39,0,$G$41)+IF(COUNT($A$33:A49)&lt;=$G$40,0,$G$42),0)</f>
        <v>87500</v>
      </c>
      <c r="D49" s="170">
        <f>IFERROR(DATE(YEAR(B49),MONTH(B49),1)," ")</f>
        <v>43586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43643</v>
      </c>
      <c r="C50" s="27">
        <f>IF(B50&lt;&gt;"",IF(COUNT($A$33:A50)&lt;=$G$39,0,$G$41)+IF(COUNT($A$33:A50)&lt;=$G$40,0,$G$42),0)</f>
        <v>87500</v>
      </c>
      <c r="D50" s="170">
        <f>IFERROR(DATE(YEAR(B50),MONTH(B50),1)," ")</f>
        <v>43617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43673</v>
      </c>
      <c r="C51" s="27">
        <f>IF(B51&lt;&gt;"",IF(COUNT($A$33:A51)&lt;=$G$39,0,$G$41)+IF(COUNT($A$33:A51)&lt;=$G$40,0,$G$42),0)</f>
        <v>87500</v>
      </c>
      <c r="D51" s="170">
        <f>IFERROR(DATE(YEAR(B51),MONTH(B51),1)," ")</f>
        <v>43647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43704</v>
      </c>
      <c r="C52" s="27">
        <f>IF(B52&lt;&gt;"",IF(COUNT($A$33:A52)&lt;=$G$39,0,$G$41)+IF(COUNT($A$33:A52)&lt;=$G$40,0,$G$42),0)</f>
        <v>87500</v>
      </c>
      <c r="D52" s="170">
        <f>IFERROR(DATE(YEAR(B52),MONTH(B52),1)," ")</f>
        <v>43678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43735</v>
      </c>
      <c r="C53" s="27">
        <f>IF(B53&lt;&gt;"",IF(COUNT($A$33:A53)&lt;=$G$39,0,$G$41)+IF(COUNT($A$33:A53)&lt;=$G$40,0,$G$42),0)</f>
        <v>87500</v>
      </c>
      <c r="D53" s="170">
        <f>IFERROR(DATE(YEAR(B53),MONTH(B53),1)," ")</f>
        <v>43709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43765</v>
      </c>
      <c r="C54" s="27">
        <f>IF(B54&lt;&gt;"",IF(COUNT($A$33:A54)&lt;=$G$39,0,$G$41)+IF(COUNT($A$33:A54)&lt;=$G$40,0,$G$42),0)</f>
        <v>87500</v>
      </c>
      <c r="D54" s="170">
        <f>IFERROR(DATE(YEAR(B54),MONTH(B54),1)," ")</f>
        <v>43739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43796</v>
      </c>
      <c r="C55" s="27">
        <f>IF(B55&lt;&gt;"",IF(COUNT($A$33:A55)&lt;=$G$39,0,$G$41)+IF(COUNT($A$33:A55)&lt;=$G$40,0,$G$42),0)</f>
        <v>87500</v>
      </c>
      <c r="D55" s="170">
        <f>IFERROR(DATE(YEAR(B55),MONTH(B55),1)," ")</f>
        <v>43770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43826</v>
      </c>
      <c r="C56" s="27">
        <f>IF(B56&lt;&gt;"",IF(COUNT($A$33:A56)&lt;=$G$39,0,$G$41)+IF(COUNT($A$33:A56)&lt;=$G$40,0,$G$42),0)</f>
        <v>87500</v>
      </c>
      <c r="D56" s="170">
        <f>IFERROR(DATE(YEAR(B56),MONTH(B56),1)," ")</f>
        <v>43800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316</v>
      </c>
      <c r="I52" s="12" t="s">
        <v>130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109</v>
      </c>
      <c r="H78" s="12" t="s">
        <v>130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123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167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363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128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