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<sst xmlns="http://schemas.openxmlformats.org/spreadsheetml/2006/main" uniqueCount="369">
  <si>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</si>
  <si>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</si>
  <si>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</si>
  <si>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</si>
  <si>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</si>
  <si>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</si>
  <si>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</si>
  <si>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</si>
  <si>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</si>
  <si>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</si>
  <si>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</si>
  <si>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</si>
  <si>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</si>
  <si>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</si>
  <si>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</si>
  <si>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</si>
  <si>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</si>
  <si>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</si>
  <si>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</si>
  <si>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</si>
  <si>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</si>
  <si>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</si>
  <si>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</si>
  <si>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</si>
  <si>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</si>
  <si>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</si>
  <si>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</si>
  <si>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</si>
  <si>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</si>
  <si>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</si>
  <si>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</si>
  <si>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</si>
  <si>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</si>
  <si>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</si>
  <si>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</si>
  <si>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</si>
  <si>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</si>
  <si>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</si>
  <si>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</si>
  <si>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</si>
  <si>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</si>
  <si>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</si>
  <si>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</si>
  <si>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</si>
  <si>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</si>
  <si>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</si>
  <si>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</si>
  <si>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</si>
  <si>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</si>
  <si>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</si>
  <si>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</si>
  <si>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</si>
  <si>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</si>
  <si>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</si>
  <si>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</si>
  <si>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</si>
  <si>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</si>
  <si>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</si>
  <si>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</si>
  <si>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</si>
  <si>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</si>
  <si>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</si>
  <si>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</si>
  <si>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</si>
  <si>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</si>
  <si>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</si>
  <si>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</si>
  <si>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</si>
  <si>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</si>
  <si>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</si>
  <si>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</si>
  <si>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</si>
  <si>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</si>
  <si>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</si>
  <si>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</si>
  <si>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</si>
  <si>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</si>
  <si>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</si>
  <si>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</si>
  <si>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</si>
  <si>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</si>
  <si>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</si>
  <si>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</si>
  <si>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</si>
  <si>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</si>
  <si>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</si>
  <si>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</si>
  <si>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</si>
  <si>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</si>
  <si>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</si>
  <si>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</si>
  <si>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</si>
  <si>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</si>
  <si>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</si>
  <si>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November</t>
  </si>
  <si>
    <t>Beans</t>
  </si>
  <si>
    <t>December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</si>
  <si>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</si>
  <si>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</si>
  <si>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</si>
  <si>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</si>
  <si>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</si>
  <si>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</si>
  <si>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</si>
  <si>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</si>
  <si>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</si>
  <si>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</si>
  <si>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</si>
  <si>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</si>
  <si>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</si>
  <si>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</si>
  <si>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</si>
  <si>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No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</si>
  <si>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</si>
  <si>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</si>
  <si>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</si>
  <si>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</si>
  <si>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</si>
  <si>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</si>
  <si>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Transport, 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</si>
  <si>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</si>
  <si>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</si>
  <si>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</si>
  <si>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</si>
  <si>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</si>
  <si>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</si>
  <si>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</si>
  <si>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</si>
  <si>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</si>
  <si>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</si>
  <si>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</si>
  <si>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</si>
  <si>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</si>
  <si>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</si>
  <si>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</si>
  <si>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</si>
  <si>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</si>
  <si>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</si>
  <si>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</si>
  <si>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</si>
  <si>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</si>
  <si>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</si>
  <si>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</si>
  <si>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</si>
  <si>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</si>
  <si>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</si>
  <si>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</si>
  <si>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10/28/2017</t>
  </si>
  <si>
    <t>Mshwari</t>
  </si>
  <si>
    <t>good</t>
  </si>
  <si>
    <t>6/27/2017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</si>
  <si>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</si>
  <si>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</si>
  <si>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</si>
  <si>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</si>
  <si>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</si>
  <si>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</si>
  <si>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</si>
  <si>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</si>
  <si>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</si>
  <si>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</si>
  <si>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</si>
  <si>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2017/12/27</t>
  </si>
  <si>
    <t>Loan terms</t>
  </si>
  <si>
    <t>Expected disbursement date</t>
  </si>
  <si>
    <t>Expected first repayment date</t>
  </si>
  <si>
    <t>2018/1/27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</si>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</sst>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Cows_beef</v>
      </c>
    </row>
    <row r="8" spans="1:7">
      <c r="B8" s="1" t="s">
        <v>4</v>
      </c>
      <c r="C8" t="str">
        <f>IF(Inputs!B29="","None",Inputs!B29)</f>
        <v>Transport, 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0.1910872369583791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0.05862867528508194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505356.6868822738</v>
      </c>
    </row>
    <row r="18" spans="1:7">
      <c r="B18" s="1" t="s">
        <v>12</v>
      </c>
      <c r="C18" s="36">
        <f>MIN(Output!B6:M6)</f>
        <v>22628.73961765146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86972.04541293385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2800</v>
      </c>
    </row>
    <row r="25" spans="1:7">
      <c r="B25" s="1" t="s">
        <v>18</v>
      </c>
      <c r="C25" s="36">
        <f>MAX(Inputs!A56:A60)</f>
        <v>2800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22628.73961765146</v>
      </c>
      <c r="C6" s="51">
        <f>C30-C88</f>
        <v>32228.73961765146</v>
      </c>
      <c r="D6" s="51">
        <f>D30-D88</f>
        <v>30128.73961765146</v>
      </c>
      <c r="E6" s="51">
        <f>E30-E88</f>
        <v>86972.04541293385</v>
      </c>
      <c r="F6" s="51">
        <f>F30-F88</f>
        <v>42418.83731218149</v>
      </c>
      <c r="G6" s="51">
        <f>G30-G88</f>
        <v>35301.2418630672</v>
      </c>
      <c r="H6" s="51">
        <f>H30-H88</f>
        <v>28628.73961765146</v>
      </c>
      <c r="I6" s="51">
        <f>I30-I88</f>
        <v>32228.73961765146</v>
      </c>
      <c r="J6" s="51">
        <f>J30-J88</f>
        <v>30128.73961765146</v>
      </c>
      <c r="K6" s="51">
        <f>K30-K88</f>
        <v>86972.04541293385</v>
      </c>
      <c r="L6" s="51">
        <f>L30-L88</f>
        <v>42418.83731218149</v>
      </c>
      <c r="M6" s="51">
        <f>M30-M88</f>
        <v>35301.2418630672</v>
      </c>
      <c r="N6" s="51">
        <f>N30-N88</f>
        <v>22628.73961765146</v>
      </c>
      <c r="O6" s="51">
        <f>O30-O88</f>
        <v>32228.73961765146</v>
      </c>
      <c r="P6" s="51">
        <f>P30-P88</f>
        <v>30128.73961765146</v>
      </c>
      <c r="Q6" s="51">
        <f>Q30-Q88</f>
        <v>86972.04541293385</v>
      </c>
      <c r="R6" s="51">
        <f>R30-R88</f>
        <v>42418.83731218149</v>
      </c>
      <c r="S6" s="51">
        <f>S30-S88</f>
        <v>35301.2418630672</v>
      </c>
      <c r="T6" s="51">
        <f>T30-T88</f>
        <v>28628.73961765146</v>
      </c>
      <c r="U6" s="51">
        <f>U30-U88</f>
        <v>32228.73961765146</v>
      </c>
      <c r="V6" s="51">
        <f>V30-V88</f>
        <v>30128.73961765146</v>
      </c>
      <c r="W6" s="51">
        <f>W30-W88</f>
        <v>86972.04541293385</v>
      </c>
      <c r="X6" s="51">
        <f>X30-X88</f>
        <v>42418.83731218149</v>
      </c>
      <c r="Y6" s="51">
        <f>Y30-Y88</f>
        <v>35301.2418630672</v>
      </c>
      <c r="Z6" s="51">
        <f>SUMIF($B$13:$Y$13,"Yes",B6:Y6)</f>
        <v>527985.4264999253</v>
      </c>
      <c r="AA6" s="51">
        <f>AA30-AA88</f>
        <v>505356.6868822736</v>
      </c>
      <c r="AB6" s="51">
        <f>AB30-AB88</f>
        <v>1010713.373764547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-116</v>
      </c>
      <c r="I7" s="80">
        <f>IF(ISERROR(VLOOKUP(MONTH(I5),Inputs!$D$66:$D$71,1,0)),"",INDEX(Inputs!$B$66:$B$71,MATCH(MONTH(Output!I5),Inputs!$D$66:$D$71,0))-INDEX(Inputs!$C$66:$C$71,MATCH(MONTH(Output!I5),Inputs!$D$66:$D$71,0)))</f>
        <v>4459</v>
      </c>
      <c r="J7" s="80">
        <f>IF(ISERROR(VLOOKUP(MONTH(J5),Inputs!$D$66:$D$71,1,0)),"",INDEX(Inputs!$B$66:$B$71,MATCH(MONTH(Output!J5),Inputs!$D$66:$D$71,0))-INDEX(Inputs!$C$66:$C$71,MATCH(MONTH(Output!J5),Inputs!$D$66:$D$71,0)))</f>
        <v>463</v>
      </c>
      <c r="K7" s="80">
        <f>IF(ISERROR(VLOOKUP(MONTH(K5),Inputs!$D$66:$D$71,1,0)),"",INDEX(Inputs!$B$66:$B$71,MATCH(MONTH(Output!K5),Inputs!$D$66:$D$71,0))-INDEX(Inputs!$C$66:$C$71,MATCH(MONTH(Output!K5),Inputs!$D$66:$D$71,0)))</f>
        <v>-5053</v>
      </c>
      <c r="L7" s="80">
        <f>IF(ISERROR(VLOOKUP(MONTH(L5),Inputs!$D$66:$D$71,1,0)),"",INDEX(Inputs!$B$66:$B$71,MATCH(MONTH(Output!L5),Inputs!$D$66:$D$71,0))-INDEX(Inputs!$C$66:$C$71,MATCH(MONTH(Output!L5),Inputs!$D$66:$D$71,0)))</f>
        <v>54</v>
      </c>
      <c r="M7" s="80">
        <f>IF(ISERROR(VLOOKUP(MONTH(M5),Inputs!$D$66:$D$71,1,0)),"",INDEX(Inputs!$B$66:$B$71,MATCH(MONTH(Output!M5),Inputs!$D$66:$D$71,0))-INDEX(Inputs!$C$66:$C$71,MATCH(MONTH(Output!M5),Inputs!$D$66:$D$71,0)))</f>
        <v>628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-116</v>
      </c>
      <c r="U7" s="80">
        <f>IF(ISERROR(VLOOKUP(MONTH(U5),Inputs!$D$66:$D$71,1,0)),"",INDEX(Inputs!$B$66:$B$71,MATCH(MONTH(Output!U5),Inputs!$D$66:$D$71,0))-INDEX(Inputs!$C$66:$C$71,MATCH(MONTH(Output!U5),Inputs!$D$66:$D$71,0)))</f>
        <v>4459</v>
      </c>
      <c r="V7" s="80">
        <f>IF(ISERROR(VLOOKUP(MONTH(V5),Inputs!$D$66:$D$71,1,0)),"",INDEX(Inputs!$B$66:$B$71,MATCH(MONTH(Output!V5),Inputs!$D$66:$D$71,0))-INDEX(Inputs!$C$66:$C$71,MATCH(MONTH(Output!V5),Inputs!$D$66:$D$71,0)))</f>
        <v>463</v>
      </c>
      <c r="W7" s="80">
        <f>IF(ISERROR(VLOOKUP(MONTH(W5),Inputs!$D$66:$D$71,1,0)),"",INDEX(Inputs!$B$66:$B$71,MATCH(MONTH(Output!W5),Inputs!$D$66:$D$71,0))-INDEX(Inputs!$C$66:$C$71,MATCH(MONTH(Output!W5),Inputs!$D$66:$D$71,0)))</f>
        <v>-5053</v>
      </c>
      <c r="X7" s="80">
        <f>IF(ISERROR(VLOOKUP(MONTH(X5),Inputs!$D$66:$D$71,1,0)),"",INDEX(Inputs!$B$66:$B$71,MATCH(MONTH(Output!X5),Inputs!$D$66:$D$71,0))-INDEX(Inputs!$C$66:$C$71,MATCH(MONTH(Output!X5),Inputs!$D$66:$D$71,0)))</f>
        <v>54</v>
      </c>
      <c r="Y7" s="80">
        <f>IF(ISERROR(VLOOKUP(MONTH(Y5),Inputs!$D$66:$D$71,1,0)),"",INDEX(Inputs!$B$66:$B$71,MATCH(MONTH(Output!Y5),Inputs!$D$66:$D$71,0))-INDEX(Inputs!$C$66:$C$71,MATCH(MONTH(Output!Y5),Inputs!$D$66:$D$71,0)))</f>
        <v>628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122628.7396176515</v>
      </c>
      <c r="C11" s="80">
        <f>C6+C9-C10</f>
        <v>22228.73961765146</v>
      </c>
      <c r="D11" s="80">
        <f>D6+D9-D10</f>
        <v>20128.73961765146</v>
      </c>
      <c r="E11" s="80">
        <f>E6+E9-E10</f>
        <v>76972.04541293385</v>
      </c>
      <c r="F11" s="80">
        <f>F6+F9-F10</f>
        <v>32418.83731218149</v>
      </c>
      <c r="G11" s="80">
        <f>G6+G9-G10</f>
        <v>25301.2418630672</v>
      </c>
      <c r="H11" s="80">
        <f>H6+H9-H10</f>
        <v>18628.73961765146</v>
      </c>
      <c r="I11" s="80">
        <f>I6+I9-I10</f>
        <v>22228.73961765146</v>
      </c>
      <c r="J11" s="80">
        <f>J6+J9-J10</f>
        <v>20128.73961765146</v>
      </c>
      <c r="K11" s="80">
        <f>K6+K9-K10</f>
        <v>76972.04541293385</v>
      </c>
      <c r="L11" s="80">
        <f>L6+L9-L10</f>
        <v>32418.83731218149</v>
      </c>
      <c r="M11" s="80">
        <f>M6+M9-M10</f>
        <v>25301.2418630672</v>
      </c>
      <c r="N11" s="80">
        <f>N6+N9-N10</f>
        <v>12628.73961765146</v>
      </c>
      <c r="O11" s="80">
        <f>O6+O9-O10</f>
        <v>32228.73961765146</v>
      </c>
      <c r="P11" s="80">
        <f>P6+P9-P10</f>
        <v>30128.73961765146</v>
      </c>
      <c r="Q11" s="80">
        <f>Q6+Q9-Q10</f>
        <v>86972.04541293385</v>
      </c>
      <c r="R11" s="80">
        <f>R6+R9-R10</f>
        <v>42418.83731218149</v>
      </c>
      <c r="S11" s="80">
        <f>S6+S9-S10</f>
        <v>35301.2418630672</v>
      </c>
      <c r="T11" s="80">
        <f>T6+T9-T10</f>
        <v>28628.73961765146</v>
      </c>
      <c r="U11" s="80">
        <f>U6+U9-U10</f>
        <v>32228.73961765146</v>
      </c>
      <c r="V11" s="80">
        <f>V6+V9-V10</f>
        <v>30128.73961765146</v>
      </c>
      <c r="W11" s="80">
        <f>W6+W9-W10</f>
        <v>86972.04541293385</v>
      </c>
      <c r="X11" s="80">
        <f>X6+X9-X10</f>
        <v>42418.83731218149</v>
      </c>
      <c r="Y11" s="80">
        <f>Y6+Y9-Y10</f>
        <v>35301.2418630672</v>
      </c>
      <c r="Z11" s="85">
        <f>SUMIF($B$13:$Y$13,"Yes",B11:Y11)</f>
        <v>507985.4264999253</v>
      </c>
      <c r="AA11" s="80">
        <f>SUM(B11:M11)</f>
        <v>495356.6868822738</v>
      </c>
      <c r="AB11" s="46">
        <f>SUM(B11:Y11)</f>
        <v>990713.3737645475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0.06457550548659774</v>
      </c>
      <c r="D12" s="82">
        <f>IF(D13="Yes",IF(SUM($B$10:D10)/(SUM($B$6:D6)+SUM($B$9:D9))&lt;0,999.99,SUM($B$10:D10)/(SUM($B$6:D6)+SUM($B$9:D9))),"")</f>
        <v>0.1081161619714926</v>
      </c>
      <c r="E12" s="82">
        <f>IF(E13="Yes",IF(SUM($B$10:E10)/(SUM($B$6:E6)+SUM($B$9:E9))&lt;0,999.99,SUM($B$10:E10)/(SUM($B$6:E6)+SUM($B$9:E9))),"")</f>
        <v>0.1103110437955641</v>
      </c>
      <c r="F12" s="82">
        <f>IF(F13="Yes",IF(SUM($B$10:F10)/(SUM($B$6:F6)+SUM($B$9:F9))&lt;0,999.99,SUM($B$10:F10)/(SUM($B$6:F6)+SUM($B$9:F9))),"")</f>
        <v>0.1272357299536548</v>
      </c>
      <c r="G12" s="82">
        <f>IF(G13="Yes",IF(SUM($B$10:G10)/(SUM($B$6:G6)+SUM($B$9:G9))&lt;0,999.99,SUM($B$10:G10)/(SUM($B$6:G6)+SUM($B$9:G9))),"")</f>
        <v>0.1429885520159951</v>
      </c>
      <c r="H12" s="82">
        <f>IF(H13="Yes",IF(SUM($B$10:H10)/(SUM($B$6:H6)+SUM($B$9:H9))&lt;0,999.99,SUM($B$10:H10)/(SUM($B$6:H6)+SUM($B$9:H9))),"")</f>
        <v>0.1586013127612419</v>
      </c>
      <c r="I12" s="82">
        <f>IF(I13="Yes",IF(SUM($B$10:I10)/(SUM($B$6:I6)+SUM($B$9:I9))&lt;0,999.99,SUM($B$10:I10)/(SUM($B$6:I6)+SUM($B$9:I9))),"")</f>
        <v>0.1705088719021967</v>
      </c>
      <c r="J12" s="82">
        <f>IF(J13="Yes",IF(SUM($B$10:J10)/(SUM($B$6:J6)+SUM($B$9:J9))&lt;0,999.99,SUM($B$10:J10)/(SUM($B$6:J6)+SUM($B$9:J9))),"")</f>
        <v>0.1815439834406505</v>
      </c>
      <c r="K12" s="82">
        <f>IF(K13="Yes",IF(SUM($B$10:K10)/(SUM($B$6:K6)+SUM($B$9:K9))&lt;0,999.99,SUM($B$10:K10)/(SUM($B$6:K6)+SUM($B$9:K9))),"")</f>
        <v>0.170571940394957</v>
      </c>
      <c r="L12" s="82">
        <f>IF(L13="Yes",IF(SUM($B$10:L10)/(SUM($B$6:L6)+SUM($B$9:L9))&lt;0,999.99,SUM($B$10:L10)/(SUM($B$6:L6)+SUM($B$9:L9))),"")</f>
        <v>0.1754215328942797</v>
      </c>
      <c r="M12" s="82">
        <f>IF(M13="Yes",IF(SUM($B$10:M10)/(SUM($B$6:M6)+SUM($B$9:M9))&lt;0,999.99,SUM($B$10:M10)/(SUM($B$6:M6)+SUM($B$9:M9))),"")</f>
        <v>0.1817110513250053</v>
      </c>
      <c r="N12" s="82">
        <f>IF(N13="Yes",IF(SUM($B$10:N10)/(SUM($B$6:N6)+SUM($B$9:N9))&lt;0,999.99,SUM($B$10:N10)/(SUM($B$6:N6)+SUM($B$9:N9))),"")</f>
        <v>0.1910872369583791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53843.3057952824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53843.3057952824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53843.3057952824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53843.3057952824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107686.6115905648</v>
      </c>
      <c r="AA18" s="36">
        <f>SUM(B18:M18)</f>
        <v>107686.6115905648</v>
      </c>
      <c r="AB18" s="36">
        <f>SUM(B18:Y18)</f>
        <v>215373.2231811296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6946.820223105226</v>
      </c>
      <c r="G19" s="36">
        <f>S19</f>
        <v>7641.502245415749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6946.820223105226</v>
      </c>
      <c r="M19" s="36">
        <f>Y19</f>
        <v>7641.502245415749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6946.820223105226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7641.502245415749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6946.820223105226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7641.502245415749</v>
      </c>
      <c r="Z19" s="36">
        <f>SUMIF($B$13:$Y$13,"Yes",B19:Y19)</f>
        <v>29176.64493704195</v>
      </c>
      <c r="AA19" s="36">
        <f>SUM(B19:M19)</f>
        <v>29176.64493704195</v>
      </c>
      <c r="AB19" s="36">
        <f>SUM(B19:Y19)</f>
        <v>58353.2898740839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15399.99999999999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1750</v>
      </c>
      <c r="C24" s="36">
        <f>IFERROR(Calculations!$P14/12,"")</f>
        <v>1750</v>
      </c>
      <c r="D24" s="36">
        <f>IFERROR(Calculations!$P14/12,"")</f>
        <v>1750</v>
      </c>
      <c r="E24" s="36">
        <f>IFERROR(Calculations!$P14/12,"")</f>
        <v>1750</v>
      </c>
      <c r="F24" s="36">
        <f>IFERROR(Calculations!$P14/12,"")</f>
        <v>1750</v>
      </c>
      <c r="G24" s="36">
        <f>IFERROR(Calculations!$P14/12,"")</f>
        <v>1750</v>
      </c>
      <c r="H24" s="36">
        <f>IFERROR(Calculations!$P14/12,"")</f>
        <v>1750</v>
      </c>
      <c r="I24" s="36">
        <f>IFERROR(Calculations!$P14/12,"")</f>
        <v>1750</v>
      </c>
      <c r="J24" s="36">
        <f>IFERROR(Calculations!$P14/12,"")</f>
        <v>1750</v>
      </c>
      <c r="K24" s="36">
        <f>IFERROR(Calculations!$P14/12,"")</f>
        <v>1750</v>
      </c>
      <c r="L24" s="36">
        <f>IFERROR(Calculations!$P14/12,"")</f>
        <v>1750</v>
      </c>
      <c r="M24" s="36">
        <f>IFERROR(Calculations!$P14/12,"")</f>
        <v>1750</v>
      </c>
      <c r="N24" s="36">
        <f>IFERROR(Calculations!$P14/12,"")</f>
        <v>1750</v>
      </c>
      <c r="O24" s="36">
        <f>IFERROR(Calculations!$P14/12,"")</f>
        <v>1750</v>
      </c>
      <c r="P24" s="36">
        <f>IFERROR(Calculations!$P14/12,"")</f>
        <v>1750</v>
      </c>
      <c r="Q24" s="36">
        <f>IFERROR(Calculations!$P14/12,"")</f>
        <v>1750</v>
      </c>
      <c r="R24" s="36">
        <f>IFERROR(Calculations!$P14/12,"")</f>
        <v>1750</v>
      </c>
      <c r="S24" s="36">
        <f>IFERROR(Calculations!$P14/12,"")</f>
        <v>1750</v>
      </c>
      <c r="T24" s="36">
        <f>IFERROR(Calculations!$P14/12,"")</f>
        <v>1750</v>
      </c>
      <c r="U24" s="36">
        <f>IFERROR(Calculations!$P14/12,"")</f>
        <v>1750</v>
      </c>
      <c r="V24" s="36">
        <f>IFERROR(Calculations!$P14/12,"")</f>
        <v>1750</v>
      </c>
      <c r="W24" s="36">
        <f>IFERROR(Calculations!$P14/12,"")</f>
        <v>1750</v>
      </c>
      <c r="X24" s="36">
        <f>IFERROR(Calculations!$P14/12,"")</f>
        <v>1750</v>
      </c>
      <c r="Y24" s="36">
        <f>IFERROR(Calculations!$P14/12,"")</f>
        <v>1750</v>
      </c>
      <c r="Z24" s="36">
        <f>SUMIF($B$13:$Y$13,"Yes",B24:Y24)</f>
        <v>22750</v>
      </c>
      <c r="AA24" s="36">
        <f>SUM(B24:M24)</f>
        <v>21000</v>
      </c>
      <c r="AB24" s="46">
        <f>SUM(B24:Y24)</f>
        <v>42000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1277.777777777778</v>
      </c>
      <c r="C25" s="36">
        <f>IFERROR(Calculations!$P15/12,"")</f>
        <v>1277.777777777778</v>
      </c>
      <c r="D25" s="36">
        <f>IFERROR(Calculations!$P15/12,"")</f>
        <v>1277.777777777778</v>
      </c>
      <c r="E25" s="36">
        <f>IFERROR(Calculations!$P15/12,"")</f>
        <v>1277.777777777778</v>
      </c>
      <c r="F25" s="36">
        <f>IFERROR(Calculations!$P15/12,"")</f>
        <v>1277.777777777778</v>
      </c>
      <c r="G25" s="36">
        <f>IFERROR(Calculations!$P15/12,"")</f>
        <v>1277.777777777778</v>
      </c>
      <c r="H25" s="36">
        <f>IFERROR(Calculations!$P15/12,"")</f>
        <v>1277.777777777778</v>
      </c>
      <c r="I25" s="36">
        <f>IFERROR(Calculations!$P15/12,"")</f>
        <v>1277.777777777778</v>
      </c>
      <c r="J25" s="36">
        <f>IFERROR(Calculations!$P15/12,"")</f>
        <v>1277.777777777778</v>
      </c>
      <c r="K25" s="36">
        <f>IFERROR(Calculations!$P15/12,"")</f>
        <v>1277.777777777778</v>
      </c>
      <c r="L25" s="36">
        <f>IFERROR(Calculations!$P15/12,"")</f>
        <v>1277.777777777778</v>
      </c>
      <c r="M25" s="36">
        <f>IFERROR(Calculations!$P15/12,"")</f>
        <v>1277.777777777778</v>
      </c>
      <c r="N25" s="36">
        <f>IFERROR(Calculations!$P15/12,"")</f>
        <v>1277.777777777778</v>
      </c>
      <c r="O25" s="36">
        <f>IFERROR(Calculations!$P15/12,"")</f>
        <v>1277.777777777778</v>
      </c>
      <c r="P25" s="36">
        <f>IFERROR(Calculations!$P15/12,"")</f>
        <v>1277.777777777778</v>
      </c>
      <c r="Q25" s="36">
        <f>IFERROR(Calculations!$P15/12,"")</f>
        <v>1277.777777777778</v>
      </c>
      <c r="R25" s="36">
        <f>IFERROR(Calculations!$P15/12,"")</f>
        <v>1277.777777777778</v>
      </c>
      <c r="S25" s="36">
        <f>IFERROR(Calculations!$P15/12,"")</f>
        <v>1277.777777777778</v>
      </c>
      <c r="T25" s="36">
        <f>IFERROR(Calculations!$P15/12,"")</f>
        <v>1277.777777777778</v>
      </c>
      <c r="U25" s="36">
        <f>IFERROR(Calculations!$P15/12,"")</f>
        <v>1277.777777777778</v>
      </c>
      <c r="V25" s="36">
        <f>IFERROR(Calculations!$P15/12,"")</f>
        <v>1277.777777777778</v>
      </c>
      <c r="W25" s="36">
        <f>IFERROR(Calculations!$P15/12,"")</f>
        <v>1277.777777777778</v>
      </c>
      <c r="X25" s="36">
        <f>IFERROR(Calculations!$P15/12,"")</f>
        <v>1277.777777777778</v>
      </c>
      <c r="Y25" s="36">
        <f>IFERROR(Calculations!$P15/12,"")</f>
        <v>1277.777777777778</v>
      </c>
      <c r="Z25" s="36">
        <f>SUMIF($B$13:$Y$13,"Yes",B25:Y25)</f>
        <v>16611.11111111111</v>
      </c>
      <c r="AA25" s="36">
        <f>SUM(B25:M25)</f>
        <v>15333.33333333333</v>
      </c>
      <c r="AB25" s="46">
        <f>SUM(B25:Y25)</f>
        <v>30666.66666666666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95800</v>
      </c>
      <c r="C29" s="37">
        <f>Inputs!$B$30</f>
        <v>95800</v>
      </c>
      <c r="D29" s="37">
        <f>Inputs!$B$30</f>
        <v>95800</v>
      </c>
      <c r="E29" s="37">
        <f>Inputs!$B$30</f>
        <v>95800</v>
      </c>
      <c r="F29" s="37">
        <f>Inputs!$B$30</f>
        <v>95800</v>
      </c>
      <c r="G29" s="37">
        <f>Inputs!$B$30</f>
        <v>95800</v>
      </c>
      <c r="H29" s="37">
        <f>Inputs!$B$30</f>
        <v>95800</v>
      </c>
      <c r="I29" s="37">
        <f>Inputs!$B$30</f>
        <v>95800</v>
      </c>
      <c r="J29" s="37">
        <f>Inputs!$B$30</f>
        <v>95800</v>
      </c>
      <c r="K29" s="37">
        <f>Inputs!$B$30</f>
        <v>95800</v>
      </c>
      <c r="L29" s="37">
        <f>Inputs!$B$30</f>
        <v>95800</v>
      </c>
      <c r="M29" s="37">
        <f>Inputs!$B$30</f>
        <v>95800</v>
      </c>
      <c r="N29" s="37">
        <f>Inputs!$B$30</f>
        <v>95800</v>
      </c>
      <c r="O29" s="37">
        <f>Inputs!$B$30</f>
        <v>95800</v>
      </c>
      <c r="P29" s="37">
        <f>Inputs!$B$30</f>
        <v>95800</v>
      </c>
      <c r="Q29" s="37">
        <f>Inputs!$B$30</f>
        <v>95800</v>
      </c>
      <c r="R29" s="37">
        <f>Inputs!$B$30</f>
        <v>95800</v>
      </c>
      <c r="S29" s="37">
        <f>Inputs!$B$30</f>
        <v>95800</v>
      </c>
      <c r="T29" s="37">
        <f>Inputs!$B$30</f>
        <v>95800</v>
      </c>
      <c r="U29" s="37">
        <f>Inputs!$B$30</f>
        <v>95800</v>
      </c>
      <c r="V29" s="37">
        <f>Inputs!$B$30</f>
        <v>95800</v>
      </c>
      <c r="W29" s="37">
        <f>Inputs!$B$30</f>
        <v>95800</v>
      </c>
      <c r="X29" s="37">
        <f>Inputs!$B$30</f>
        <v>95800</v>
      </c>
      <c r="Y29" s="37">
        <f>Inputs!$B$30</f>
        <v>95800</v>
      </c>
      <c r="Z29" s="37">
        <f>SUMIF($B$13:$Y$13,"Yes",B29:Y29)</f>
        <v>1245400</v>
      </c>
      <c r="AA29" s="37">
        <f>SUM(B29:M29)</f>
        <v>1149600</v>
      </c>
      <c r="AB29" s="37">
        <f>SUM(B29:Y29)</f>
        <v>2299200</v>
      </c>
    </row>
    <row r="30" spans="1:30" customHeight="1" ht="15.75">
      <c r="A30" s="1" t="s">
        <v>37</v>
      </c>
      <c r="B30" s="19">
        <f>SUM(B18:B29)</f>
        <v>98827.77777777778</v>
      </c>
      <c r="C30" s="19">
        <f>SUM(C18:C29)</f>
        <v>98827.77777777778</v>
      </c>
      <c r="D30" s="19">
        <f>SUM(D18:D29)</f>
        <v>98827.77777777778</v>
      </c>
      <c r="E30" s="19">
        <f>SUM(E18:E29)</f>
        <v>152671.0835730602</v>
      </c>
      <c r="F30" s="19">
        <f>SUM(F18:F29)</f>
        <v>105774.598000883</v>
      </c>
      <c r="G30" s="19">
        <f>SUM(G18:G29)</f>
        <v>106469.2800231935</v>
      </c>
      <c r="H30" s="19">
        <f>SUM(H18:H29)</f>
        <v>98827.77777777778</v>
      </c>
      <c r="I30" s="19">
        <f>SUM(I18:I29)</f>
        <v>98827.77777777778</v>
      </c>
      <c r="J30" s="19">
        <f>SUM(J18:J29)</f>
        <v>98827.77777777778</v>
      </c>
      <c r="K30" s="19">
        <f>SUM(K18:K29)</f>
        <v>152671.0835730602</v>
      </c>
      <c r="L30" s="19">
        <f>SUM(L18:L29)</f>
        <v>105774.598000883</v>
      </c>
      <c r="M30" s="19">
        <f>SUM(M18:M29)</f>
        <v>106469.2800231935</v>
      </c>
      <c r="N30" s="19">
        <f>SUM(N18:N29)</f>
        <v>98827.77777777778</v>
      </c>
      <c r="O30" s="19">
        <f>SUM(O18:O29)</f>
        <v>98827.77777777778</v>
      </c>
      <c r="P30" s="19">
        <f>SUM(P18:P29)</f>
        <v>98827.77777777778</v>
      </c>
      <c r="Q30" s="19">
        <f>SUM(Q18:Q29)</f>
        <v>152671.0835730602</v>
      </c>
      <c r="R30" s="19">
        <f>SUM(R18:R29)</f>
        <v>105774.598000883</v>
      </c>
      <c r="S30" s="19">
        <f>SUM(S18:S29)</f>
        <v>106469.2800231935</v>
      </c>
      <c r="T30" s="19">
        <f>SUM(T18:T29)</f>
        <v>98827.77777777778</v>
      </c>
      <c r="U30" s="19">
        <f>SUM(U18:U29)</f>
        <v>98827.77777777778</v>
      </c>
      <c r="V30" s="19">
        <f>SUM(V18:V29)</f>
        <v>98827.77777777778</v>
      </c>
      <c r="W30" s="19">
        <f>SUM(W18:W29)</f>
        <v>152671.0835730602</v>
      </c>
      <c r="X30" s="19">
        <f>SUM(X18:X29)</f>
        <v>105774.598000883</v>
      </c>
      <c r="Y30" s="19">
        <f>SUM(Y18:Y29)</f>
        <v>106469.2800231935</v>
      </c>
      <c r="Z30" s="19">
        <f>SUMIF($B$13:$Y$13,"Yes",B30:Y30)</f>
        <v>1421624.367638718</v>
      </c>
      <c r="AA30" s="19">
        <f>SUM(B30:M30)</f>
        <v>1322796.58986094</v>
      </c>
      <c r="AB30" s="19">
        <f>SUM(B30:Y30)</f>
        <v>2645593.17972188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6000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6000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6000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6000</v>
      </c>
      <c r="Z36" s="36">
        <f>SUMIF($B$13:$Y$13,"Yes",B36:Y36)</f>
        <v>30000</v>
      </c>
      <c r="AA36" s="36">
        <f>SUM(B36:M36)</f>
        <v>22000</v>
      </c>
      <c r="AB36" s="36">
        <f>SUM(B36:Y36)</f>
        <v>44000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6000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6000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6000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6000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Beans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6000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6000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6000</v>
      </c>
      <c r="AB39" s="36">
        <f>SUM(B39:Y39)</f>
        <v>12000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909.0000000000002</v>
      </c>
      <c r="H42" s="36">
        <f>T42</f>
        <v>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909.0000000000002</v>
      </c>
      <c r="N42" s="36">
        <f>SUM(N43:N47)</f>
        <v>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909.0000000000002</v>
      </c>
      <c r="T42" s="36">
        <f>SUM(T43:T47)</f>
        <v>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909.0000000000002</v>
      </c>
      <c r="Z42" s="36">
        <f>SUMIF($B$13:$Y$13,"Yes",B42:Y42)</f>
        <v>9318</v>
      </c>
      <c r="AA42" s="36">
        <f>SUM(B42:M42)</f>
        <v>6818</v>
      </c>
      <c r="AB42" s="36">
        <f>SUM(B42:Y42)</f>
        <v>13636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909.0000000000002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909.0000000000002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909.0000000000002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909.0000000000002</v>
      </c>
      <c r="Z43" s="36">
        <f>SUMIF($B$13:$Y$13,"Yes",B43:Y43)</f>
        <v>1818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7500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900</v>
      </c>
      <c r="D48" s="36">
        <f>P48</f>
        <v>3000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900</v>
      </c>
      <c r="J48" s="36">
        <f>V48</f>
        <v>3000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900</v>
      </c>
      <c r="P48" s="46">
        <f>SUM(P49:P53)</f>
        <v>3000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900</v>
      </c>
      <c r="V48" s="46">
        <f>SUM(V49:V53)</f>
        <v>3000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7800</v>
      </c>
      <c r="AA48" s="46">
        <f>SUM(B48:M48)</f>
        <v>7800</v>
      </c>
      <c r="AB48" s="46">
        <f>SUM(B48:Y48)</f>
        <v>15600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900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900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900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900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3000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248.7225285751961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248.7225285751961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248.7225285751961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248.7225285751961</v>
      </c>
      <c r="Y54" s="46">
        <f>SUM(Y55:Y59)</f>
        <v>0</v>
      </c>
      <c r="Z54" s="46">
        <f>SUMIF($B$13:$Y$13,"Yes",B54:Y54)</f>
        <v>497.4450571503922</v>
      </c>
      <c r="AA54" s="46">
        <f>SUM(B54:M54)</f>
        <v>497.4450571503922</v>
      </c>
      <c r="AB54" s="46">
        <f>SUM(B54:Y54)</f>
        <v>994.8901143007844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248.7225285751961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248.7225285751961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248.7225285751961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248.7225285751961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497.4450571503922</v>
      </c>
      <c r="AA56" s="46">
        <f>SUM(B56:M56)</f>
        <v>497.4450571503922</v>
      </c>
      <c r="AB56" s="46">
        <f>SUM(B56:Y56)</f>
        <v>994.8901143007844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4032</v>
      </c>
      <c r="C66" s="36">
        <f>O66</f>
        <v>4032</v>
      </c>
      <c r="D66" s="36">
        <f>P66</f>
        <v>4032</v>
      </c>
      <c r="E66" s="36">
        <f>Q66</f>
        <v>4032</v>
      </c>
      <c r="F66" s="36">
        <f>R66</f>
        <v>1440</v>
      </c>
      <c r="G66" s="36">
        <f>S66</f>
        <v>2592</v>
      </c>
      <c r="H66" s="36">
        <f>T66</f>
        <v>4032</v>
      </c>
      <c r="I66" s="36">
        <f>U66</f>
        <v>4032</v>
      </c>
      <c r="J66" s="36">
        <f>V66</f>
        <v>4032</v>
      </c>
      <c r="K66" s="36">
        <f>W66</f>
        <v>4032</v>
      </c>
      <c r="L66" s="36">
        <f>X66</f>
        <v>1440</v>
      </c>
      <c r="M66" s="36">
        <f>Y66</f>
        <v>2592</v>
      </c>
      <c r="N66" s="46">
        <f>SUM(N67:N71)</f>
        <v>4032</v>
      </c>
      <c r="O66" s="46">
        <f>SUM(O67:O71)</f>
        <v>4032</v>
      </c>
      <c r="P66" s="46">
        <f>SUM(P67:P71)</f>
        <v>4032</v>
      </c>
      <c r="Q66" s="46">
        <f>SUM(Q67:Q71)</f>
        <v>4032</v>
      </c>
      <c r="R66" s="46">
        <f>SUM(R67:R71)</f>
        <v>1440</v>
      </c>
      <c r="S66" s="46">
        <f>SUM(S67:S71)</f>
        <v>2592</v>
      </c>
      <c r="T66" s="46">
        <f>SUM(T67:T71)</f>
        <v>4032</v>
      </c>
      <c r="U66" s="46">
        <f>SUM(U67:U71)</f>
        <v>4032</v>
      </c>
      <c r="V66" s="46">
        <f>SUM(V67:V71)</f>
        <v>4032</v>
      </c>
      <c r="W66" s="46">
        <f>SUM(W67:W71)</f>
        <v>4032</v>
      </c>
      <c r="X66" s="46">
        <f>SUM(X67:X71)</f>
        <v>1440</v>
      </c>
      <c r="Y66" s="46">
        <f>SUM(Y67:Y71)</f>
        <v>2592</v>
      </c>
      <c r="Z66" s="46">
        <f>SUMIF($B$13:$Y$13,"Yes",B66:Y66)</f>
        <v>44352</v>
      </c>
      <c r="AA66" s="46">
        <f>SUM(B66:M66)</f>
        <v>40320</v>
      </c>
      <c r="AB66" s="46">
        <f>SUM(B66:Y66)</f>
        <v>80640</v>
      </c>
    </row>
    <row r="67" spans="1:30" hidden="true" outlineLevel="1">
      <c r="A67" s="181" t="str">
        <f>Calculations!$A$4</f>
        <v>Maize</v>
      </c>
      <c r="B67" s="36">
        <f>N67</f>
        <v>2592</v>
      </c>
      <c r="C67" s="36">
        <f>O67</f>
        <v>2592</v>
      </c>
      <c r="D67" s="36">
        <f>P67</f>
        <v>2592</v>
      </c>
      <c r="E67" s="36">
        <f>Q67</f>
        <v>2592</v>
      </c>
      <c r="F67" s="36">
        <f>R67</f>
        <v>0</v>
      </c>
      <c r="G67" s="36">
        <f>S67</f>
        <v>2592</v>
      </c>
      <c r="H67" s="36">
        <f>T67</f>
        <v>2592</v>
      </c>
      <c r="I67" s="36">
        <f>U67</f>
        <v>2592</v>
      </c>
      <c r="J67" s="36">
        <f>V67</f>
        <v>2592</v>
      </c>
      <c r="K67" s="36">
        <f>W67</f>
        <v>2592</v>
      </c>
      <c r="L67" s="36">
        <f>X67</f>
        <v>0</v>
      </c>
      <c r="M67" s="36">
        <f>Y67</f>
        <v>2592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2592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2592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2592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2592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2592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2592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2592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2592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2592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2592</v>
      </c>
      <c r="Z67" s="46">
        <f>SUMIF($B$13:$Y$13,"Yes",B67:Y67)</f>
        <v>28512</v>
      </c>
      <c r="AA67" s="46">
        <f>SUM(B67:M67)</f>
        <v>25920</v>
      </c>
      <c r="AB67" s="46">
        <f>SUM(B67:Y67)</f>
        <v>51840</v>
      </c>
    </row>
    <row r="68" spans="1:30" hidden="true" outlineLevel="1">
      <c r="A68" s="181" t="str">
        <f>Calculations!$A$5</f>
        <v>Beans</v>
      </c>
      <c r="B68" s="36">
        <f>N68</f>
        <v>1440</v>
      </c>
      <c r="C68" s="36">
        <f>O68</f>
        <v>1440</v>
      </c>
      <c r="D68" s="36">
        <f>P68</f>
        <v>1440</v>
      </c>
      <c r="E68" s="36">
        <f>Q68</f>
        <v>1440</v>
      </c>
      <c r="F68" s="36">
        <f>R68</f>
        <v>1440</v>
      </c>
      <c r="G68" s="36">
        <f>S68</f>
        <v>0</v>
      </c>
      <c r="H68" s="36">
        <f>T68</f>
        <v>1440</v>
      </c>
      <c r="I68" s="36">
        <f>U68</f>
        <v>1440</v>
      </c>
      <c r="J68" s="36">
        <f>V68</f>
        <v>1440</v>
      </c>
      <c r="K68" s="36">
        <f>W68</f>
        <v>1440</v>
      </c>
      <c r="L68" s="36">
        <f>X68</f>
        <v>1440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1440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1440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1440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1440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1440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1440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1440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1440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1440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1440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15840</v>
      </c>
      <c r="AA68" s="46">
        <f>SUM(B68:M68)</f>
        <v>14400</v>
      </c>
      <c r="AB68" s="46">
        <f>SUM(B68:Y68)</f>
        <v>28800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5850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641.6666666666666</v>
      </c>
      <c r="C76" s="46">
        <f>SUM(Calculations!$S$14:$S$16)/12</f>
        <v>641.6666666666666</v>
      </c>
      <c r="D76" s="46">
        <f>SUM(Calculations!$S$14:$S$16)/12</f>
        <v>641.6666666666666</v>
      </c>
      <c r="E76" s="46">
        <f>SUM(Calculations!$S$14:$S$16)/12</f>
        <v>641.6666666666666</v>
      </c>
      <c r="F76" s="46">
        <f>SUM(Calculations!$S$14:$S$16)/12</f>
        <v>641.6666666666666</v>
      </c>
      <c r="G76" s="46">
        <f>SUM(Calculations!$S$14:$S$16)/12</f>
        <v>641.6666666666666</v>
      </c>
      <c r="H76" s="46">
        <f>SUM(Calculations!$S$14:$S$16)/12</f>
        <v>641.6666666666666</v>
      </c>
      <c r="I76" s="46">
        <f>SUM(Calculations!$S$14:$S$16)/12</f>
        <v>641.6666666666666</v>
      </c>
      <c r="J76" s="46">
        <f>SUM(Calculations!$S$14:$S$16)/12</f>
        <v>641.6666666666666</v>
      </c>
      <c r="K76" s="46">
        <f>SUM(Calculations!$S$14:$S$16)/12</f>
        <v>641.6666666666666</v>
      </c>
      <c r="L76" s="46">
        <f>SUM(Calculations!$S$14:$S$16)/12</f>
        <v>641.6666666666666</v>
      </c>
      <c r="M76" s="46">
        <f>SUM(Calculations!$S$14:$S$16)/12</f>
        <v>641.6666666666666</v>
      </c>
      <c r="N76" s="46">
        <f>SUM(Calculations!$S$14:$S$16)/12</f>
        <v>641.6666666666666</v>
      </c>
      <c r="O76" s="46">
        <f>SUM(Calculations!$S$14:$S$16)/12</f>
        <v>641.6666666666666</v>
      </c>
      <c r="P76" s="46">
        <f>SUM(Calculations!$S$14:$S$16)/12</f>
        <v>641.6666666666666</v>
      </c>
      <c r="Q76" s="46">
        <f>SUM(Calculations!$S$14:$S$16)/12</f>
        <v>641.6666666666666</v>
      </c>
      <c r="R76" s="46">
        <f>SUM(Calculations!$S$14:$S$16)/12</f>
        <v>641.6666666666666</v>
      </c>
      <c r="S76" s="46">
        <f>SUM(Calculations!$S$14:$S$16)/12</f>
        <v>641.6666666666666</v>
      </c>
      <c r="T76" s="46">
        <f>SUM(Calculations!$S$14:$S$16)/12</f>
        <v>641.6666666666666</v>
      </c>
      <c r="U76" s="46">
        <f>SUM(Calculations!$S$14:$S$16)/12</f>
        <v>641.6666666666666</v>
      </c>
      <c r="V76" s="46">
        <f>SUM(Calculations!$S$14:$S$16)/12</f>
        <v>641.6666666666666</v>
      </c>
      <c r="W76" s="46">
        <f>SUM(Calculations!$S$14:$S$16)/12</f>
        <v>641.6666666666666</v>
      </c>
      <c r="X76" s="46">
        <f>SUM(Calculations!$S$14:$S$16)/12</f>
        <v>641.6666666666666</v>
      </c>
      <c r="Y76" s="46">
        <f>SUM(Calculations!$S$14:$S$16)/12</f>
        <v>641.6666666666666</v>
      </c>
      <c r="Z76" s="46">
        <f>SUMIF($B$13:$Y$13,"Yes",B76:Y76)</f>
        <v>8341.666666666668</v>
      </c>
      <c r="AA76" s="46">
        <f>SUM(B76:M76)</f>
        <v>7700.000000000001</v>
      </c>
      <c r="AB76" s="46">
        <f>SUM(B76:Y76)</f>
        <v>15399.99999999999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32500</v>
      </c>
      <c r="C79" s="46">
        <f>Inputs!$B$31</f>
        <v>32500</v>
      </c>
      <c r="D79" s="46">
        <f>Inputs!$B$31</f>
        <v>32500</v>
      </c>
      <c r="E79" s="46">
        <f>Inputs!$B$31</f>
        <v>32500</v>
      </c>
      <c r="F79" s="46">
        <f>Inputs!$B$31</f>
        <v>32500</v>
      </c>
      <c r="G79" s="46">
        <f>Inputs!$B$31</f>
        <v>32500</v>
      </c>
      <c r="H79" s="46">
        <f>Inputs!$B$31</f>
        <v>32500</v>
      </c>
      <c r="I79" s="46">
        <f>Inputs!$B$31</f>
        <v>32500</v>
      </c>
      <c r="J79" s="46">
        <f>Inputs!$B$31</f>
        <v>32500</v>
      </c>
      <c r="K79" s="46">
        <f>Inputs!$B$31</f>
        <v>32500</v>
      </c>
      <c r="L79" s="46">
        <f>Inputs!$B$31</f>
        <v>32500</v>
      </c>
      <c r="M79" s="46">
        <f>Inputs!$B$31</f>
        <v>32500</v>
      </c>
      <c r="N79" s="46">
        <f>Inputs!$B$31</f>
        <v>32500</v>
      </c>
      <c r="O79" s="46">
        <f>Inputs!$B$31</f>
        <v>32500</v>
      </c>
      <c r="P79" s="46">
        <f>Inputs!$B$31</f>
        <v>32500</v>
      </c>
      <c r="Q79" s="46">
        <f>Inputs!$B$31</f>
        <v>32500</v>
      </c>
      <c r="R79" s="46">
        <f>Inputs!$B$31</f>
        <v>32500</v>
      </c>
      <c r="S79" s="46">
        <f>Inputs!$B$31</f>
        <v>32500</v>
      </c>
      <c r="T79" s="46">
        <f>Inputs!$B$31</f>
        <v>32500</v>
      </c>
      <c r="U79" s="46">
        <f>Inputs!$B$31</f>
        <v>32500</v>
      </c>
      <c r="V79" s="46">
        <f>Inputs!$B$31</f>
        <v>32500</v>
      </c>
      <c r="W79" s="46">
        <f>Inputs!$B$31</f>
        <v>32500</v>
      </c>
      <c r="X79" s="46">
        <f>Inputs!$B$31</f>
        <v>32500</v>
      </c>
      <c r="Y79" s="46">
        <f>Inputs!$B$31</f>
        <v>32500</v>
      </c>
      <c r="Z79" s="46">
        <f>SUMIF($B$13:$Y$13,"Yes",B79:Y79)</f>
        <v>422500</v>
      </c>
      <c r="AA79" s="46">
        <f>SUM(B79:M79)</f>
        <v>390000</v>
      </c>
      <c r="AB79" s="46">
        <f>SUM(B79:Y79)</f>
        <v>780000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28075.37149345966</v>
      </c>
      <c r="C81" s="46">
        <f>(SUM($AA$18:$AA$29)-SUM($AA$36,$AA$42,$AA$48,$AA$54,$AA$60,$AA$66,$AA$72:$AA$79))*Parameters!$B$37/12</f>
        <v>28075.37149345966</v>
      </c>
      <c r="D81" s="46">
        <f>(SUM($AA$18:$AA$29)-SUM($AA$36,$AA$42,$AA$48,$AA$54,$AA$60,$AA$66,$AA$72:$AA$79))*Parameters!$B$37/12</f>
        <v>28075.37149345966</v>
      </c>
      <c r="E81" s="46">
        <f>(SUM($AA$18:$AA$29)-SUM($AA$36,$AA$42,$AA$48,$AA$54,$AA$60,$AA$66,$AA$72:$AA$79))*Parameters!$B$37/12</f>
        <v>28075.37149345966</v>
      </c>
      <c r="F81" s="46">
        <f>(SUM($AA$18:$AA$29)-SUM($AA$36,$AA$42,$AA$48,$AA$54,$AA$60,$AA$66,$AA$72:$AA$79))*Parameters!$B$37/12</f>
        <v>28075.37149345966</v>
      </c>
      <c r="G81" s="46">
        <f>(SUM($AA$18:$AA$29)-SUM($AA$36,$AA$42,$AA$48,$AA$54,$AA$60,$AA$66,$AA$72:$AA$79))*Parameters!$B$37/12</f>
        <v>28075.37149345966</v>
      </c>
      <c r="H81" s="46">
        <f>(SUM($AA$18:$AA$29)-SUM($AA$36,$AA$42,$AA$48,$AA$54,$AA$60,$AA$66,$AA$72:$AA$79))*Parameters!$B$37/12</f>
        <v>28075.37149345966</v>
      </c>
      <c r="I81" s="46">
        <f>(SUM($AA$18:$AA$29)-SUM($AA$36,$AA$42,$AA$48,$AA$54,$AA$60,$AA$66,$AA$72:$AA$79))*Parameters!$B$37/12</f>
        <v>28075.37149345966</v>
      </c>
      <c r="J81" s="46">
        <f>(SUM($AA$18:$AA$29)-SUM($AA$36,$AA$42,$AA$48,$AA$54,$AA$60,$AA$66,$AA$72:$AA$79))*Parameters!$B$37/12</f>
        <v>28075.37149345966</v>
      </c>
      <c r="K81" s="46">
        <f>(SUM($AA$18:$AA$29)-SUM($AA$36,$AA$42,$AA$48,$AA$54,$AA$60,$AA$66,$AA$72:$AA$79))*Parameters!$B$37/12</f>
        <v>28075.37149345966</v>
      </c>
      <c r="L81" s="46">
        <f>(SUM($AA$18:$AA$29)-SUM($AA$36,$AA$42,$AA$48,$AA$54,$AA$60,$AA$66,$AA$72:$AA$79))*Parameters!$B$37/12</f>
        <v>28075.37149345966</v>
      </c>
      <c r="M81" s="46">
        <f>(SUM($AA$18:$AA$29)-SUM($AA$36,$AA$42,$AA$48,$AA$54,$AA$60,$AA$66,$AA$72:$AA$79))*Parameters!$B$37/12</f>
        <v>28075.37149345966</v>
      </c>
      <c r="N81" s="46">
        <f>(SUM($AA$18:$AA$29)-SUM($AA$36,$AA$42,$AA$48,$AA$54,$AA$60,$AA$66,$AA$72:$AA$79))*Parameters!$B$37/12</f>
        <v>28075.37149345966</v>
      </c>
      <c r="O81" s="46">
        <f>(SUM($AA$18:$AA$29)-SUM($AA$36,$AA$42,$AA$48,$AA$54,$AA$60,$AA$66,$AA$72:$AA$79))*Parameters!$B$37/12</f>
        <v>28075.37149345966</v>
      </c>
      <c r="P81" s="46">
        <f>(SUM($AA$18:$AA$29)-SUM($AA$36,$AA$42,$AA$48,$AA$54,$AA$60,$AA$66,$AA$72:$AA$79))*Parameters!$B$37/12</f>
        <v>28075.37149345966</v>
      </c>
      <c r="Q81" s="46">
        <f>(SUM($AA$18:$AA$29)-SUM($AA$36,$AA$42,$AA$48,$AA$54,$AA$60,$AA$66,$AA$72:$AA$79))*Parameters!$B$37/12</f>
        <v>28075.37149345966</v>
      </c>
      <c r="R81" s="46">
        <f>(SUM($AA$18:$AA$29)-SUM($AA$36,$AA$42,$AA$48,$AA$54,$AA$60,$AA$66,$AA$72:$AA$79))*Parameters!$B$37/12</f>
        <v>28075.37149345966</v>
      </c>
      <c r="S81" s="46">
        <f>(SUM($AA$18:$AA$29)-SUM($AA$36,$AA$42,$AA$48,$AA$54,$AA$60,$AA$66,$AA$72:$AA$79))*Parameters!$B$37/12</f>
        <v>28075.37149345966</v>
      </c>
      <c r="T81" s="46">
        <f>(SUM($AA$18:$AA$29)-SUM($AA$36,$AA$42,$AA$48,$AA$54,$AA$60,$AA$66,$AA$72:$AA$79))*Parameters!$B$37/12</f>
        <v>28075.37149345966</v>
      </c>
      <c r="U81" s="46">
        <f>(SUM($AA$18:$AA$29)-SUM($AA$36,$AA$42,$AA$48,$AA$54,$AA$60,$AA$66,$AA$72:$AA$79))*Parameters!$B$37/12</f>
        <v>28075.37149345966</v>
      </c>
      <c r="V81" s="46">
        <f>(SUM($AA$18:$AA$29)-SUM($AA$36,$AA$42,$AA$48,$AA$54,$AA$60,$AA$66,$AA$72:$AA$79))*Parameters!$B$37/12</f>
        <v>28075.37149345966</v>
      </c>
      <c r="W81" s="46">
        <f>(SUM($AA$18:$AA$29)-SUM($AA$36,$AA$42,$AA$48,$AA$54,$AA$60,$AA$66,$AA$72:$AA$79))*Parameters!$B$37/12</f>
        <v>28075.37149345966</v>
      </c>
      <c r="X81" s="46">
        <f>(SUM($AA$18:$AA$29)-SUM($AA$36,$AA$42,$AA$48,$AA$54,$AA$60,$AA$66,$AA$72:$AA$79))*Parameters!$B$37/12</f>
        <v>28075.37149345966</v>
      </c>
      <c r="Y81" s="46">
        <f>(SUM($AA$18:$AA$29)-SUM($AA$36,$AA$42,$AA$48,$AA$54,$AA$60,$AA$66,$AA$72:$AA$79))*Parameters!$B$37/12</f>
        <v>28075.37149345966</v>
      </c>
      <c r="Z81" s="46">
        <f>SUMIF($B$13:$Y$13,"Yes",B81:Y81)</f>
        <v>364979.8294149756</v>
      </c>
      <c r="AA81" s="46">
        <f>SUM(B81:M81)</f>
        <v>336904.4579215159</v>
      </c>
      <c r="AB81" s="46">
        <f>SUM(B81:Y81)</f>
        <v>673808.9158430321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76199.03816012632</v>
      </c>
      <c r="C88" s="19">
        <f>SUM(C72:C82,C66,C60,C54,C48,C42,C36)</f>
        <v>66599.03816012632</v>
      </c>
      <c r="D88" s="19">
        <f>SUM(D72:D82,D66,D60,D54,D48,D42,D36)</f>
        <v>68699.03816012632</v>
      </c>
      <c r="E88" s="19">
        <f>SUM(E72:E82,E66,E60,E54,E48,E42,E36)</f>
        <v>65699.03816012632</v>
      </c>
      <c r="F88" s="19">
        <f>SUM(F72:F82,F66,F60,F54,F48,F42,F36)</f>
        <v>63355.76068870152</v>
      </c>
      <c r="G88" s="19">
        <f>SUM(G72:G82,G66,G60,G54,G48,G42,G36)</f>
        <v>71168.03816012632</v>
      </c>
      <c r="H88" s="19">
        <f>SUM(H72:H82,H66,H60,H54,H48,H42,H36)</f>
        <v>70199.03816012632</v>
      </c>
      <c r="I88" s="19">
        <f>SUM(I72:I82,I66,I60,I54,I48,I42,I36)</f>
        <v>66599.03816012632</v>
      </c>
      <c r="J88" s="19">
        <f>SUM(J72:J82,J66,J60,J54,J48,J42,J36)</f>
        <v>68699.03816012632</v>
      </c>
      <c r="K88" s="19">
        <f>SUM(K72:K82,K66,K60,K54,K48,K42,K36)</f>
        <v>65699.03816012632</v>
      </c>
      <c r="L88" s="19">
        <f>SUM(L72:L82,L66,L60,L54,L48,L42,L36)</f>
        <v>63355.76068870152</v>
      </c>
      <c r="M88" s="19">
        <f>SUM(M72:M82,M66,M60,M54,M48,M42,M36)</f>
        <v>71168.03816012632</v>
      </c>
      <c r="N88" s="19">
        <f>SUM(N72:N82,N66,N60,N54,N48,N42,N36)</f>
        <v>76199.03816012632</v>
      </c>
      <c r="O88" s="19">
        <f>SUM(O72:O82,O66,O60,O54,O48,O42,O36)</f>
        <v>66599.03816012632</v>
      </c>
      <c r="P88" s="19">
        <f>SUM(P72:P82,P66,P60,P54,P48,P42,P36)</f>
        <v>68699.03816012632</v>
      </c>
      <c r="Q88" s="19">
        <f>SUM(Q72:Q82,Q66,Q60,Q54,Q48,Q42,Q36)</f>
        <v>65699.03816012632</v>
      </c>
      <c r="R88" s="19">
        <f>SUM(R72:R82,R66,R60,R54,R48,R42,R36)</f>
        <v>63355.76068870152</v>
      </c>
      <c r="S88" s="19">
        <f>SUM(S72:S82,S66,S60,S54,S48,S42,S36)</f>
        <v>71168.03816012632</v>
      </c>
      <c r="T88" s="19">
        <f>SUM(T72:T82,T66,T60,T54,T48,T42,T36)</f>
        <v>70199.03816012632</v>
      </c>
      <c r="U88" s="19">
        <f>SUM(U72:U82,U66,U60,U54,U48,U42,U36)</f>
        <v>66599.03816012632</v>
      </c>
      <c r="V88" s="19">
        <f>SUM(V72:V82,V66,V60,V54,V48,V42,V36)</f>
        <v>68699.03816012632</v>
      </c>
      <c r="W88" s="19">
        <f>SUM(W72:W82,W66,W60,W54,W48,W42,W36)</f>
        <v>65699.03816012632</v>
      </c>
      <c r="X88" s="19">
        <f>SUM(X72:X82,X66,X60,X54,X48,X42,X36)</f>
        <v>63355.76068870152</v>
      </c>
      <c r="Y88" s="19">
        <f>SUM(Y72:Y82,Y66,Y60,Y54,Y48,Y42,Y36)</f>
        <v>71168.03816012632</v>
      </c>
      <c r="Z88" s="19">
        <f>SUMIF($B$13:$Y$13,"Yes",B88:Y88)</f>
        <v>893638.9411387926</v>
      </c>
      <c r="AA88" s="19">
        <f>SUM(B88:M88)</f>
        <v>817439.9029786662</v>
      </c>
      <c r="AB88" s="19">
        <f>SUM(B88:Y88)</f>
        <v>1634879.805957333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17500</v>
      </c>
    </row>
    <row r="95" spans="1:30">
      <c r="A95" t="s">
        <v>61</v>
      </c>
      <c r="B95" s="36">
        <f>Inputs!B47</f>
        <v>15450</v>
      </c>
    </row>
    <row r="96" spans="1:30">
      <c r="A96" t="s">
        <v>62</v>
      </c>
      <c r="B96" s="36">
        <f>SUMPRODUCT(Inputs!C19:C21,Calculations!O14:O16)</f>
        <v>176000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75200</v>
      </c>
    </row>
    <row r="99" spans="1:30">
      <c r="A99" t="s">
        <v>65</v>
      </c>
      <c r="B99" s="36">
        <f>Inputs!B46</f>
        <v>21500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1705650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3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10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21</v>
      </c>
      <c r="D19" s="145"/>
      <c r="E19" s="20"/>
      <c r="F19" s="145" t="s">
        <v>112</v>
      </c>
      <c r="G19" s="20"/>
      <c r="H19" s="20"/>
      <c r="I19" s="145" t="s">
        <v>113</v>
      </c>
      <c r="J19" s="145"/>
      <c r="K19" s="145"/>
      <c r="L19" s="25"/>
    </row>
    <row r="20" spans="1:48">
      <c r="A20" s="143" t="s">
        <v>114</v>
      </c>
      <c r="B20" s="16"/>
      <c r="C20" s="143">
        <v>2</v>
      </c>
      <c r="D20" s="147"/>
      <c r="E20" s="16"/>
      <c r="F20" s="147" t="s">
        <v>112</v>
      </c>
      <c r="G20" s="16"/>
      <c r="H20" s="16"/>
      <c r="I20" s="147" t="s">
        <v>113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40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95800</v>
      </c>
    </row>
    <row r="31" spans="1:48">
      <c r="A31" s="5" t="s">
        <v>121</v>
      </c>
      <c r="B31" s="158">
        <v>32500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75200</v>
      </c>
    </row>
    <row r="46" spans="1:48" customHeight="1" ht="30">
      <c r="A46" s="57" t="s">
        <v>135</v>
      </c>
      <c r="B46" s="161">
        <v>21500</v>
      </c>
    </row>
    <row r="47" spans="1:48" customHeight="1" ht="30">
      <c r="A47" s="57" t="s">
        <v>136</v>
      </c>
      <c r="B47" s="161">
        <v>15450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17500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2800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2800</v>
      </c>
      <c r="B57" s="157">
        <v>0</v>
      </c>
      <c r="C57" s="164" t="s">
        <v>150</v>
      </c>
      <c r="D57" s="165" t="s">
        <v>148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152</v>
      </c>
      <c r="C65" s="10" t="s">
        <v>153</v>
      </c>
    </row>
    <row r="66" spans="1:48">
      <c r="A66" s="142" t="s">
        <v>94</v>
      </c>
      <c r="B66" s="159">
        <v>85717</v>
      </c>
      <c r="C66" s="163">
        <v>85089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76972</v>
      </c>
      <c r="C67" s="165">
        <v>76918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72834</v>
      </c>
      <c r="C68" s="165">
        <v>77887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67915</v>
      </c>
      <c r="C69" s="165">
        <v>67452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52063</v>
      </c>
      <c r="C70" s="165">
        <v>47604</v>
      </c>
      <c r="D70" s="49">
        <f>INDEX(Parameters!$D$79:$D$90,MATCH(Inputs!A70,Parameters!$C$79:$C$90,0))</f>
        <v>7</v>
      </c>
    </row>
    <row r="71" spans="1:48">
      <c r="A71" s="144" t="s">
        <v>158</v>
      </c>
      <c r="B71" s="158">
        <v>23331</v>
      </c>
      <c r="C71" s="167">
        <v>23447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18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43405</v>
      </c>
      <c r="C4" s="38">
        <f>IFERROR(DATE(YEAR(B4),MONTH(B4)+ROUND(T4/2,0),DAY(B4)),B4)</f>
        <v>43466</v>
      </c>
      <c r="D4" s="38">
        <f>IFERROR(DATE(YEAR(B4),MONTH(B4)+T4,DAY(B4)),"")</f>
        <v>43525</v>
      </c>
      <c r="E4" s="38">
        <f>IFERROR(IF($S4=0,"",IF($S4=2,DATE(YEAR(B4),MONTH(B4)+6,DAY(B4)),IF($S4=1,B4,""))),"")</f>
        <v>43586</v>
      </c>
      <c r="F4" s="38">
        <f>IFERROR(IF($S4=0,"",IF($S4=2,DATE(YEAR(C4),MONTH(C4)+6,DAY(C4)),IF($S4=1,C4,""))),"")</f>
        <v>43647</v>
      </c>
      <c r="G4" s="38">
        <f>IFERROR(IF($S4=0,"",IF($S4=2,DATE(YEAR(D4),MONTH(D4)+6,DAY(D4)),IF($S4=1,D4,""))),"")</f>
        <v>43709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107686.6115905648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27787.2808924209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248.7225285751961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43070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21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8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4200</v>
      </c>
      <c r="S14" s="63">
        <f>IFERROR(D14*INDEX(Parameters!$A$22:$P$29,MATCH(Calculations!$A14,Parameters!$A$22:$A$29,0),MATCH(Parameters!$N$22,Parameters!$A$22:$P$22,0)),"")</f>
        <v>6300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15333.33333333333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2800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2800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43127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43127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232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114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112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114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132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233</v>
      </c>
      <c r="E53" s="10" t="s">
        <v>192</v>
      </c>
      <c r="F53" s="10" t="s">
        <v>252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170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229</v>
      </c>
      <c r="J76" s="11" t="s">
        <v>349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112</v>
      </c>
      <c r="F77" s="12" t="s">
        <v>112</v>
      </c>
      <c r="G77" s="12" t="s">
        <v>113</v>
      </c>
      <c r="H77" s="12" t="s">
        <v>132</v>
      </c>
      <c r="I77" s="12" t="s">
        <v>351</v>
      </c>
      <c r="J77" s="136" t="s">
        <v>352</v>
      </c>
      <c r="K77" s="12" t="s">
        <v>112</v>
      </c>
      <c r="AJ77" s="12"/>
    </row>
    <row r="78" spans="1:36">
      <c r="A78" t="s">
        <v>112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112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170</v>
      </c>
      <c r="J79" s="70" t="s">
        <v>363</v>
      </c>
      <c r="K79" s="12" t="s">
        <v>112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96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