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<sst xmlns="http://schemas.openxmlformats.org/spreadsheetml/2006/main" uniqueCount="370">
  <si>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</si>
  <si>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</si>
  <si>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</si>
  <si>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</si>
  <si>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</si>
  <si>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</si>
  <si>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</si>
  <si>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</si>
  <si>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</si>
  <si>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</si>
  <si>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</si>
  <si>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</si>
  <si>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</si>
  <si>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</si>
  <si>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</si>
  <si>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</si>
  <si>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</si>
  <si>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</si>
  <si>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</si>
  <si>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</si>
  <si>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</si>
  <si>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</si>
  <si>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</si>
  <si>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</si>
  <si>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</si>
  <si>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</si>
  <si>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</si>
  <si>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</si>
  <si>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</si>
  <si>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</si>
  <si>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</si>
  <si>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</si>
  <si>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</si>
  <si>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</si>
  <si>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</si>
  <si>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</si>
  <si>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</si>
  <si>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</si>
  <si>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</si>
  <si>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</si>
  <si>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</si>
  <si>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</si>
  <si>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</si>
  <si>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</si>
  <si>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</si>
  <si>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</si>
  <si>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</si>
  <si>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</si>
  <si>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</si>
  <si>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</si>
  <si>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</si>
  <si>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</si>
  <si>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</si>
  <si>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</si>
  <si>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</si>
  <si>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</si>
  <si>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</si>
  <si>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</si>
  <si>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</si>
  <si>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</si>
  <si>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</si>
  <si>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</si>
  <si>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</si>
  <si>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</si>
  <si>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</si>
  <si>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</si>
  <si>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</si>
  <si>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</si>
  <si>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</si>
  <si>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</si>
  <si>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</si>
  <si>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</si>
  <si>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</si>
  <si>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</si>
  <si>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</si>
  <si>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</si>
  <si>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</si>
  <si>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</si>
  <si>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</si>
  <si>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</si>
  <si>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</si>
  <si>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</si>
  <si>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</si>
  <si>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</si>
  <si>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</si>
  <si>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</si>
  <si>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</si>
  <si>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</si>
  <si>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</si>
  <si>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</si>
  <si>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Home recycled</t>
  </si>
  <si>
    <t>Yes only manure</t>
  </si>
  <si>
    <t>Yes</t>
  </si>
  <si>
    <t>No</t>
  </si>
  <si>
    <t>February</t>
  </si>
  <si>
    <t>Maize</t>
  </si>
  <si>
    <t>Yes both manure and inorganic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</si>
  <si>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</si>
  <si>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</si>
  <si>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</si>
  <si>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</si>
  <si>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</si>
  <si>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</si>
  <si>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</si>
  <si>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</si>
  <si>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</si>
  <si>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</si>
  <si>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</si>
  <si>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</si>
  <si>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</si>
  <si>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</si>
  <si>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</si>
  <si>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</si>
  <si>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</si>
  <si>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</si>
  <si>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Green Grocery Wholesale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</si>
  <si>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</si>
  <si>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</si>
  <si>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</si>
  <si>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</si>
  <si>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</si>
  <si>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</si>
  <si>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</si>
  <si>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January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</si>
  <si>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</si>
  <si>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</si>
  <si>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</si>
  <si>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</si>
  <si>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</si>
  <si>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</si>
  <si>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</si>
  <si>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</si>
  <si>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</si>
  <si>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</si>
  <si>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</si>
  <si>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</si>
  <si>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</si>
  <si>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</si>
  <si>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</si>
  <si>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</si>
  <si>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</si>
  <si>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</si>
  <si>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</si>
  <si>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</si>
  <si>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</si>
  <si>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8/13/2014</t>
  </si>
  <si>
    <t>Capital Sacco</t>
  </si>
  <si>
    <t>fully settled</t>
  </si>
  <si>
    <t>8/12/2014</t>
  </si>
  <si>
    <t xml:space="preserve">fully settled 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</si>
  <si>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</si>
  <si>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</si>
  <si>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</si>
  <si>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</si>
  <si>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</si>
  <si>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</si>
  <si>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</si>
  <si>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</si>
  <si>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</si>
  <si>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</si>
  <si>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</si>
  <si>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2017/12/28</t>
  </si>
  <si>
    <t>Loan terms</t>
  </si>
  <si>
    <t>Expected disbursement date</t>
  </si>
  <si>
    <t>Expected first repayment date</t>
  </si>
  <si>
    <t>2018/2/10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</si>
  <si>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</si>
  <si>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</si>
  <si>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</si>
  <si>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</si>
  <si>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</si>
  <si>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</si>
  <si>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</si>
  <si>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</si>
  <si>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</si>
  <si>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</si>
  <si>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</si>
  <si>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</si>
  <si>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</si>
  <si>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</si>
  <si>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</si>
  <si>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</si>
  <si>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</si>
  <si>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</si>
  <si>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</si>
  <si>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</si>
  <si>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</si>
  <si>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</si>
  <si>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</si>
  <si>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</si>
  <si>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</si>
  <si>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</si>
  <si>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</si>
  <si>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</si>
  <si>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</si>
  <si>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</si>
  <si>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</si>
  <si>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</si>
  <si>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</si>
  <si>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</si>
  <si>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</si>
  <si>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</si>
  <si>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</si>
  <si>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</si>
  <si>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</si>
  <si>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</si>
  <si>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</si>
  <si>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</si>
  <si>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</si>
  <si>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</si>
  <si>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</si>
  <si>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</si>
  <si>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</si>
  <si>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</si>
  <si>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</si>
  <si>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</si>
  <si>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</si>
  <si>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</si>
  <si>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</si>
  <si>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</si>
  <si>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</si>
  <si>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</si>
  <si>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</si>
  <si>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</si>
  <si>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</si>
  <si>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</si>
  <si>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</si>
  <si>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</si>
  <si>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</si>
  <si>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</si>
  <si>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</si>
  <si>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</si>
  <si>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</si>
  <si>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</si>
  <si>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</si>
  <si>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</si>
  <si>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</si>
  <si>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</si>
  <si>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</si>
  <si>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</si>
  <si>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</si>
  <si>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</si>
  <si>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</si>
  <si>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</si>
  <si>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</si>
  <si>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</si>
  <si>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</si>
  <si>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</si>
  <si>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</si>
  <si>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</si>
  <si>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</si>
  <si>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</si>
  <si>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</si>
  <si>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</si>
  <si>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</si>
  <si>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</si>
  <si>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</si>
  <si>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</si>
  <si>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</si>
  <si>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</si>
  <si>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</si>
  <si>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</si>
  <si>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</si>
  <si>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</si>
  <si>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</si>
  <si>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</si>
  <si>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</si>
  <si>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</si>
  <si>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</si>
  <si>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</si>
  <si>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</si>
  <si>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</si>
  <si>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</si>
  <si>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</si>
  <si>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</si>
  <si>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</si>
  <si>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</si>
  <si>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</si>
  <si>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</si>
  <si>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</si>
  <si>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</si>
  <si>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</si>
  <si>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</si>
  <si>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</si>
  <si>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</si>
  <si>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</si>
  <si>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</si>
  <si>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</si>
  <si>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</si>
  <si>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</si>
  <si>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</si>
  <si>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</si>
  <si>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</si>
  <si>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</si>
  <si>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</si>
  <si>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</si>
  <si>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</si>
  <si>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</si>
  <si>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</si>
  <si>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</si>
  <si>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</si>
  <si>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</si>
  <si>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</si>
  <si>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</si>
  <si>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</si>
  <si>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</si>
  <si>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</si>
  <si>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</si>
  <si>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</si>
  <si>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</si>
  <si>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</si>
  <si>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</si>
  <si>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</si>
  <si>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</si>
  <si>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</si>
  <si>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</si>
  <si>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</si>
  <si>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</si>
  <si>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</si>
  <si>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</si>
  <si>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</si>
  <si>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</si>
  <si>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</si>
  <si>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</si>
  <si>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</si>
  <si>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</si>
  <si>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</si>
  <si>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</si>
  <si>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</si>
  <si>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</si>
  <si>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</si>
  <si>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</si>
  <si>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</si>
  <si>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</si>
  <si>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</si>
  <si>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</si>
  <si>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</si>
  <si>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</si>
  <si>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</si>
  <si>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</si>
  <si>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</si>
  <si>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</si>
  <si>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</si>
  <si>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</si>
  <si>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</si>
  <si>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</si>
  <si>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</si>
  <si>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</si>
  <si>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</si>
  <si>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</si>
  <si>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</si>
  <si>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</si>
  <si>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</si>
  <si>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</si>
  <si>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</si>
  <si>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</si>
  <si>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</si>
  <si>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</si>
  <si>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</si>
  <si>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</si>
  <si>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</si>
  <si>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</si>
  <si>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</si>
  <si>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</si>
  <si>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</si>
  <si>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Shop_certified variety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</si>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</sst>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Green Grocery Wholesale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0.170937083297271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2018</v>
      </c>
    </row>
    <row r="13" spans="1:7">
      <c r="B13" s="1" t="s">
        <v>8</v>
      </c>
      <c r="C13" s="67">
        <f>IFERROR(Output!B107/Output!B101,"")</f>
        <v>0.4347826086956522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955095.1448089331</v>
      </c>
    </row>
    <row r="18" spans="1:7">
      <c r="B18" s="1" t="s">
        <v>12</v>
      </c>
      <c r="C18" s="36">
        <f>MIN(Output!B6:M6)</f>
        <v>-645271.6067327445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154728.3932672556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275000</v>
      </c>
    </row>
    <row r="25" spans="1:7">
      <c r="B25" s="1" t="s">
        <v>18</v>
      </c>
      <c r="C25" s="36">
        <f>MAX(Inputs!A56:A60)</f>
        <v>350000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94201.82242808508</v>
      </c>
      <c r="C6" s="51">
        <f>C30-C88</f>
        <v>-645271.6067327445</v>
      </c>
      <c r="D6" s="51">
        <f>D30-D88</f>
        <v>147354.7141772815</v>
      </c>
      <c r="E6" s="51">
        <f>E30-E88</f>
        <v>149251.7141772815</v>
      </c>
      <c r="F6" s="51">
        <f>F30-F88</f>
        <v>148854.7141772815</v>
      </c>
      <c r="G6" s="51">
        <f>G30-G88</f>
        <v>151854.7141772815</v>
      </c>
      <c r="H6" s="51">
        <f>H30-H88</f>
        <v>154201.8224280851</v>
      </c>
      <c r="I6" s="51">
        <f>I30-I88</f>
        <v>154728.3932672556</v>
      </c>
      <c r="J6" s="51">
        <f>J30-J88</f>
        <v>147354.7141772815</v>
      </c>
      <c r="K6" s="51">
        <f>K30-K88</f>
        <v>151854.7141772815</v>
      </c>
      <c r="L6" s="51">
        <f>L30-L88</f>
        <v>148854.7141772815</v>
      </c>
      <c r="M6" s="51">
        <f>M30-M88</f>
        <v>151854.7141772815</v>
      </c>
      <c r="N6" s="51">
        <f>N30-N88</f>
        <v>94201.82242808508</v>
      </c>
      <c r="O6" s="51">
        <f>O30-O88</f>
        <v>154728.3932672556</v>
      </c>
      <c r="P6" s="51">
        <f>P30-P88</f>
        <v>147354.7141772815</v>
      </c>
      <c r="Q6" s="51">
        <f>Q30-Q88</f>
        <v>149251.7141772815</v>
      </c>
      <c r="R6" s="51">
        <f>R30-R88</f>
        <v>148854.7141772815</v>
      </c>
      <c r="S6" s="51">
        <f>S30-S88</f>
        <v>151854.7141772815</v>
      </c>
      <c r="T6" s="51">
        <f>T30-T88</f>
        <v>154201.8224280851</v>
      </c>
      <c r="U6" s="51">
        <f>U30-U88</f>
        <v>154728.3932672556</v>
      </c>
      <c r="V6" s="51">
        <f>V30-V88</f>
        <v>147354.7141772815</v>
      </c>
      <c r="W6" s="51">
        <f>W30-W88</f>
        <v>151854.7141772815</v>
      </c>
      <c r="X6" s="51">
        <f>X30-X88</f>
        <v>148854.7141772815</v>
      </c>
      <c r="Y6" s="51">
        <f>Y30-Y88</f>
        <v>151854.7141772815</v>
      </c>
      <c r="Z6" s="51">
        <f>SUMIF($B$13:$Y$13,"Yes",B6:Y6)</f>
        <v>1204025.360504274</v>
      </c>
      <c r="AA6" s="51">
        <f>AA30-AA88</f>
        <v>955095.1448089331</v>
      </c>
      <c r="AB6" s="51">
        <f>AB30-AB88</f>
        <v>2710190.289617861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-11432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64941</v>
      </c>
      <c r="J7" s="80">
        <f>IF(ISERROR(VLOOKUP(MONTH(J5),Inputs!$D$66:$D$71,1,0)),"",INDEX(Inputs!$B$66:$B$71,MATCH(MONTH(Output!J5),Inputs!$D$66:$D$71,0))-INDEX(Inputs!$C$66:$C$71,MATCH(MONTH(Output!J5),Inputs!$D$66:$D$71,0)))</f>
        <v>-61179</v>
      </c>
      <c r="K7" s="80">
        <f>IF(ISERROR(VLOOKUP(MONTH(K5),Inputs!$D$66:$D$71,1,0)),"",INDEX(Inputs!$B$66:$B$71,MATCH(MONTH(Output!K5),Inputs!$D$66:$D$71,0))-INDEX(Inputs!$C$66:$C$71,MATCH(MONTH(Output!K5),Inputs!$D$66:$D$71,0)))</f>
        <v>5837</v>
      </c>
      <c r="L7" s="80">
        <f>IF(ISERROR(VLOOKUP(MONTH(L5),Inputs!$D$66:$D$71,1,0)),"",INDEX(Inputs!$B$66:$B$71,MATCH(MONTH(Output!L5),Inputs!$D$66:$D$71,0))-INDEX(Inputs!$C$66:$C$71,MATCH(MONTH(Output!L5),Inputs!$D$66:$D$71,0)))</f>
        <v>4623</v>
      </c>
      <c r="M7" s="80">
        <f>IF(ISERROR(VLOOKUP(MONTH(M5),Inputs!$D$66:$D$71,1,0)),"",INDEX(Inputs!$B$66:$B$71,MATCH(MONTH(Output!M5),Inputs!$D$66:$D$71,0))-INDEX(Inputs!$C$66:$C$71,MATCH(MONTH(Output!M5),Inputs!$D$66:$D$71,0)))</f>
        <v>-8659</v>
      </c>
      <c r="N7" s="80">
        <f>IF(ISERROR(VLOOKUP(MONTH(N5),Inputs!$D$66:$D$71,1,0)),"",INDEX(Inputs!$B$66:$B$71,MATCH(MONTH(Output!N5),Inputs!$D$66:$D$71,0))-INDEX(Inputs!$C$66:$C$71,MATCH(MONTH(Output!N5),Inputs!$D$66:$D$71,0)))</f>
        <v>-11432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64941</v>
      </c>
      <c r="V7" s="80">
        <f>IF(ISERROR(VLOOKUP(MONTH(V5),Inputs!$D$66:$D$71,1,0)),"",INDEX(Inputs!$B$66:$B$71,MATCH(MONTH(Output!V5),Inputs!$D$66:$D$71,0))-INDEX(Inputs!$C$66:$C$71,MATCH(MONTH(Output!V5),Inputs!$D$66:$D$71,0)))</f>
        <v>-61179</v>
      </c>
      <c r="W7" s="80">
        <f>IF(ISERROR(VLOOKUP(MONTH(W5),Inputs!$D$66:$D$71,1,0)),"",INDEX(Inputs!$B$66:$B$71,MATCH(MONTH(Output!W5),Inputs!$D$66:$D$71,0))-INDEX(Inputs!$C$66:$C$71,MATCH(MONTH(Output!W5),Inputs!$D$66:$D$71,0)))</f>
        <v>5837</v>
      </c>
      <c r="X7" s="80">
        <f>IF(ISERROR(VLOOKUP(MONTH(X5),Inputs!$D$66:$D$71,1,0)),"",INDEX(Inputs!$B$66:$B$71,MATCH(MONTH(Output!X5),Inputs!$D$66:$D$71,0))-INDEX(Inputs!$C$66:$C$71,MATCH(MONTH(Output!X5),Inputs!$D$66:$D$71,0)))</f>
        <v>4623</v>
      </c>
      <c r="Y7" s="80">
        <f>IF(ISERROR(VLOOKUP(MONTH(Y5),Inputs!$D$66:$D$71,1,0)),"",INDEX(Inputs!$B$66:$B$71,MATCH(MONTH(Output!Y5),Inputs!$D$66:$D$71,0))-INDEX(Inputs!$C$66:$C$71,MATCH(MONTH(Output!Y5),Inputs!$D$66:$D$71,0)))</f>
        <v>-8659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294201.8224280851</v>
      </c>
      <c r="C11" s="80">
        <f>C6+C9-C10</f>
        <v>-645271.6067327445</v>
      </c>
      <c r="D11" s="80">
        <f>D6+D9-D10</f>
        <v>127354.7141772815</v>
      </c>
      <c r="E11" s="80">
        <f>E6+E9-E10</f>
        <v>129251.7141772815</v>
      </c>
      <c r="F11" s="80">
        <f>F6+F9-F10</f>
        <v>128854.7141772815</v>
      </c>
      <c r="G11" s="80">
        <f>G6+G9-G10</f>
        <v>131854.7141772815</v>
      </c>
      <c r="H11" s="80">
        <f>H6+H9-H10</f>
        <v>134201.8224280851</v>
      </c>
      <c r="I11" s="80">
        <f>I6+I9-I10</f>
        <v>134728.3932672556</v>
      </c>
      <c r="J11" s="80">
        <f>J6+J9-J10</f>
        <v>127354.7141772815</v>
      </c>
      <c r="K11" s="80">
        <f>K6+K9-K10</f>
        <v>131854.7141772815</v>
      </c>
      <c r="L11" s="80">
        <f>L6+L9-L10</f>
        <v>128854.7141772815</v>
      </c>
      <c r="M11" s="80">
        <f>M6+M9-M10</f>
        <v>131854.7141772815</v>
      </c>
      <c r="N11" s="80">
        <f>N6+N9-N10</f>
        <v>74201.82242808508</v>
      </c>
      <c r="O11" s="80">
        <f>O6+O9-O10</f>
        <v>134728.3932672556</v>
      </c>
      <c r="P11" s="80">
        <f>P6+P9-P10</f>
        <v>147354.7141772815</v>
      </c>
      <c r="Q11" s="80">
        <f>Q6+Q9-Q10</f>
        <v>149251.7141772815</v>
      </c>
      <c r="R11" s="80">
        <f>R6+R9-R10</f>
        <v>148854.7141772815</v>
      </c>
      <c r="S11" s="80">
        <f>S6+S9-S10</f>
        <v>151854.7141772815</v>
      </c>
      <c r="T11" s="80">
        <f>T6+T9-T10</f>
        <v>154201.8224280851</v>
      </c>
      <c r="U11" s="80">
        <f>U6+U9-U10</f>
        <v>154728.3932672556</v>
      </c>
      <c r="V11" s="80">
        <f>V6+V9-V10</f>
        <v>147354.7141772815</v>
      </c>
      <c r="W11" s="80">
        <f>W6+W9-W10</f>
        <v>151854.7141772815</v>
      </c>
      <c r="X11" s="80">
        <f>X6+X9-X10</f>
        <v>148854.7141772815</v>
      </c>
      <c r="Y11" s="80">
        <f>Y6+Y9-Y10</f>
        <v>151854.7141772815</v>
      </c>
      <c r="Z11" s="85">
        <f>SUMIF($B$13:$Y$13,"Yes",B11:Y11)</f>
        <v>1164025.360504274</v>
      </c>
      <c r="AA11" s="80">
        <f>SUM(B11:M11)</f>
        <v>955095.1448089331</v>
      </c>
      <c r="AB11" s="46">
        <f>SUM(B11:Y11)</f>
        <v>2670190.289617867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-0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0.6356514105410951</v>
      </c>
      <c r="G12" s="82">
        <f>IF(G13="Yes",IF(SUM($B$10:G10)/(SUM($B$6:G6)+SUM($B$9:G9))&lt;0,999.99,SUM($B$10:G10)/(SUM($B$6:G6)+SUM($B$9:G9))),"")</f>
        <v>0.324878278133905</v>
      </c>
      <c r="H12" s="82">
        <f>IF(H13="Yes",IF(SUM($B$10:H10)/(SUM($B$6:H6)+SUM($B$9:H9))&lt;0,999.99,SUM($B$10:H10)/(SUM($B$6:H6)+SUM($B$9:H9))),"")</f>
        <v>0.2497203788318459</v>
      </c>
      <c r="I12" s="82">
        <f>IF(I13="Yes",IF(SUM($B$10:I10)/(SUM($B$6:I6)+SUM($B$9:I9))&lt;0,999.99,SUM($B$10:I10)/(SUM($B$6:I6)+SUM($B$9:I9))),"")</f>
        <v>0.2161475599232129</v>
      </c>
      <c r="J12" s="82">
        <f>IF(J13="Yes",IF(SUM($B$10:J10)/(SUM($B$6:J6)+SUM($B$9:J9))&lt;0,999.99,SUM($B$10:J10)/(SUM($B$6:J6)+SUM($B$9:J9))),"")</f>
        <v>0.19927946175503</v>
      </c>
      <c r="K12" s="82">
        <f>IF(K13="Yes",IF(SUM($B$10:K10)/(SUM($B$6:K6)+SUM($B$9:K9))&lt;0,999.99,SUM($B$10:K10)/(SUM($B$6:K6)+SUM($B$9:K9))),"")</f>
        <v>0.1872690482982168</v>
      </c>
      <c r="L12" s="82">
        <f>IF(L13="Yes",IF(SUM($B$10:L10)/(SUM($B$6:L6)+SUM($B$9:L9))&lt;0,999.99,SUM($B$10:L10)/(SUM($B$6:L6)+SUM($B$9:L9))),"")</f>
        <v>0.1794186064517654</v>
      </c>
      <c r="M12" s="82">
        <f>IF(M13="Yes",IF(SUM($B$10:M10)/(SUM($B$6:M6)+SUM($B$9:M9))&lt;0,999.99,SUM($B$10:M10)/(SUM($B$6:M6)+SUM($B$9:M9))),"")</f>
        <v>0.1731459100133976</v>
      </c>
      <c r="N12" s="82">
        <f>IF(N13="Yes",IF(SUM($B$10:N10)/(SUM($B$6:N6)+SUM($B$9:N9))&lt;0,999.99,SUM($B$10:N10)/(SUM($B$6:N6)+SUM($B$9:N9))),"")</f>
        <v>0.176099042717248</v>
      </c>
      <c r="O12" s="82">
        <f>IF(O13="Yes",IF(SUM($B$10:O10)/(SUM($B$6:O6)+SUM($B$9:O9))&lt;0,999.99,SUM($B$10:O10)/(SUM($B$6:O6)+SUM($B$9:O9))),"")</f>
        <v>0.170937083297271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2466.980990885563</v>
      </c>
      <c r="C18" s="36">
        <f>O18</f>
        <v>2713.67908997412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2466.980990885563</v>
      </c>
      <c r="I18" s="36">
        <f>U18</f>
        <v>2713.67908997412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2466.980990885563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2713.67908997412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2466.980990885563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2713.67908997412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15541.98024257905</v>
      </c>
      <c r="AA18" s="36">
        <f>SUM(B18:M18)</f>
        <v>10361.32016171937</v>
      </c>
      <c r="AB18" s="36">
        <f>SUM(B18:Y18)</f>
        <v>20722.64032343873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 t="str">
        <f>Q19</f>
        <v>0</v>
      </c>
      <c r="F19" s="36" t="str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600000</v>
      </c>
      <c r="C29" s="37">
        <f>Inputs!$B$30</f>
        <v>600000</v>
      </c>
      <c r="D29" s="37">
        <f>Inputs!$B$30</f>
        <v>600000</v>
      </c>
      <c r="E29" s="37">
        <f>Inputs!$B$30</f>
        <v>600000</v>
      </c>
      <c r="F29" s="37">
        <f>Inputs!$B$30</f>
        <v>600000</v>
      </c>
      <c r="G29" s="37">
        <f>Inputs!$B$30</f>
        <v>600000</v>
      </c>
      <c r="H29" s="37">
        <f>Inputs!$B$30</f>
        <v>600000</v>
      </c>
      <c r="I29" s="37">
        <f>Inputs!$B$30</f>
        <v>600000</v>
      </c>
      <c r="J29" s="37">
        <f>Inputs!$B$30</f>
        <v>600000</v>
      </c>
      <c r="K29" s="37">
        <f>Inputs!$B$30</f>
        <v>600000</v>
      </c>
      <c r="L29" s="37">
        <f>Inputs!$B$30</f>
        <v>600000</v>
      </c>
      <c r="M29" s="37">
        <f>Inputs!$B$30</f>
        <v>600000</v>
      </c>
      <c r="N29" s="37">
        <f>Inputs!$B$30</f>
        <v>600000</v>
      </c>
      <c r="O29" s="37">
        <f>Inputs!$B$30</f>
        <v>600000</v>
      </c>
      <c r="P29" s="37">
        <f>Inputs!$B$30</f>
        <v>600000</v>
      </c>
      <c r="Q29" s="37">
        <f>Inputs!$B$30</f>
        <v>600000</v>
      </c>
      <c r="R29" s="37">
        <f>Inputs!$B$30</f>
        <v>600000</v>
      </c>
      <c r="S29" s="37">
        <f>Inputs!$B$30</f>
        <v>600000</v>
      </c>
      <c r="T29" s="37">
        <f>Inputs!$B$30</f>
        <v>600000</v>
      </c>
      <c r="U29" s="37">
        <f>Inputs!$B$30</f>
        <v>600000</v>
      </c>
      <c r="V29" s="37">
        <f>Inputs!$B$30</f>
        <v>600000</v>
      </c>
      <c r="W29" s="37">
        <f>Inputs!$B$30</f>
        <v>600000</v>
      </c>
      <c r="X29" s="37">
        <f>Inputs!$B$30</f>
        <v>600000</v>
      </c>
      <c r="Y29" s="37">
        <f>Inputs!$B$30</f>
        <v>600000</v>
      </c>
      <c r="Z29" s="37">
        <f>SUMIF($B$13:$Y$13,"Yes",B29:Y29)</f>
        <v>8400000</v>
      </c>
      <c r="AA29" s="37">
        <f>SUM(B29:M29)</f>
        <v>7200000</v>
      </c>
      <c r="AB29" s="37">
        <f>SUM(B29:Y29)</f>
        <v>14400000</v>
      </c>
    </row>
    <row r="30" spans="1:30" customHeight="1" ht="15.75">
      <c r="A30" s="1" t="s">
        <v>37</v>
      </c>
      <c r="B30" s="19">
        <f>SUM(B18:B29)</f>
        <v>602466.9809908855</v>
      </c>
      <c r="C30" s="19">
        <f>SUM(C18:C29)</f>
        <v>602713.6790899741</v>
      </c>
      <c r="D30" s="19">
        <f>SUM(D18:D29)</f>
        <v>600000</v>
      </c>
      <c r="E30" s="19">
        <f>SUM(E18:E29)</f>
        <v>600000</v>
      </c>
      <c r="F30" s="19">
        <f>SUM(F18:F29)</f>
        <v>600000</v>
      </c>
      <c r="G30" s="19">
        <f>SUM(G18:G29)</f>
        <v>600000</v>
      </c>
      <c r="H30" s="19">
        <f>SUM(H18:H29)</f>
        <v>602466.9809908855</v>
      </c>
      <c r="I30" s="19">
        <f>SUM(I18:I29)</f>
        <v>602713.6790899741</v>
      </c>
      <c r="J30" s="19">
        <f>SUM(J18:J29)</f>
        <v>600000</v>
      </c>
      <c r="K30" s="19">
        <f>SUM(K18:K29)</f>
        <v>600000</v>
      </c>
      <c r="L30" s="19">
        <f>SUM(L18:L29)</f>
        <v>600000</v>
      </c>
      <c r="M30" s="19">
        <f>SUM(M18:M29)</f>
        <v>600000</v>
      </c>
      <c r="N30" s="19">
        <f>SUM(N18:N29)</f>
        <v>602466.9809908855</v>
      </c>
      <c r="O30" s="19">
        <f>SUM(O18:O29)</f>
        <v>602713.6790899741</v>
      </c>
      <c r="P30" s="19">
        <f>SUM(P18:P29)</f>
        <v>600000</v>
      </c>
      <c r="Q30" s="19">
        <f>SUM(Q18:Q29)</f>
        <v>600000</v>
      </c>
      <c r="R30" s="19">
        <f>SUM(R18:R29)</f>
        <v>600000</v>
      </c>
      <c r="S30" s="19">
        <f>SUM(S18:S29)</f>
        <v>600000</v>
      </c>
      <c r="T30" s="19">
        <f>SUM(T18:T29)</f>
        <v>602466.9809908855</v>
      </c>
      <c r="U30" s="19">
        <f>SUM(U18:U29)</f>
        <v>602713.6790899741</v>
      </c>
      <c r="V30" s="19">
        <f>SUM(V18:V29)</f>
        <v>600000</v>
      </c>
      <c r="W30" s="19">
        <f>SUM(W18:W29)</f>
        <v>600000</v>
      </c>
      <c r="X30" s="19">
        <f>SUM(X18:X29)</f>
        <v>600000</v>
      </c>
      <c r="Y30" s="19">
        <f>SUM(Y18:Y29)</f>
        <v>600000</v>
      </c>
      <c r="Z30" s="19">
        <f>SUMIF($B$13:$Y$13,"Yes",B30:Y30)</f>
        <v>8415541.980242578</v>
      </c>
      <c r="AA30" s="19">
        <f>SUM(B30:M30)</f>
        <v>7210361.320161719</v>
      </c>
      <c r="AB30" s="19">
        <f>SUM(B30:Y30)</f>
        <v>14420722.64032344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2000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2000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2000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2000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2500</v>
      </c>
      <c r="E42" s="36">
        <f>Q42</f>
        <v>303.0000000000001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2500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2500</v>
      </c>
      <c r="Q42" s="36">
        <f>SUM(Q43:Q47)</f>
        <v>303.0000000000001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2500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5303</v>
      </c>
      <c r="AA42" s="36">
        <f>SUM(B42:M42)</f>
        <v>5303</v>
      </c>
      <c r="AB42" s="36">
        <f>SUM(B42:Y42)</f>
        <v>10606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2500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2500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2500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2500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5000</v>
      </c>
      <c r="AA43" s="36">
        <f>SUM(B43:M43)</f>
        <v>5000</v>
      </c>
      <c r="AB43" s="36">
        <f>SUM(B43:Y43)</f>
        <v>10000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303.0000000000001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303.0000000000001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303.0000000000001</v>
      </c>
      <c r="AA44" s="36">
        <f>SUM(B44:M44)</f>
        <v>303.0000000000001</v>
      </c>
      <c r="AB44" s="36">
        <f>SUM(B44:Y44)</f>
        <v>606.0000000000001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300</v>
      </c>
      <c r="F48" s="36">
        <f>R48</f>
        <v>3000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3000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300</v>
      </c>
      <c r="R48" s="46">
        <f>SUM(R49:R53)</f>
        <v>3000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3000</v>
      </c>
      <c r="Y48" s="46">
        <f>SUM(Y49:Y53)</f>
        <v>0</v>
      </c>
      <c r="Z48" s="46">
        <f>SUMIF($B$13:$Y$13,"Yes",B48:Y48)</f>
        <v>6300</v>
      </c>
      <c r="AA48" s="46">
        <f>SUM(B48:M48)</f>
        <v>6300</v>
      </c>
      <c r="AB48" s="46">
        <f>SUM(B48:Y48)</f>
        <v>12600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3000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3000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3000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3000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300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300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</v>
      </c>
      <c r="AA50" s="46">
        <f>SUM(B50:M50)</f>
        <v>300</v>
      </c>
      <c r="AB50" s="46">
        <f>SUM(B50:Y50)</f>
        <v>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119.872740081903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119.872740081903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119.872740081903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119.872740081903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359.6182202457089</v>
      </c>
      <c r="AA54" s="46">
        <f>SUM(B54:M54)</f>
        <v>239.745480163806</v>
      </c>
      <c r="AB54" s="46">
        <f>SUM(B54:Y54)</f>
        <v>479.4909603276119</v>
      </c>
    </row>
    <row r="55" spans="1:30" hidden="true" outlineLevel="1">
      <c r="A55" s="181" t="str">
        <f>Calculations!$A$4</f>
        <v>Beans</v>
      </c>
      <c r="B55" s="36">
        <f>N55</f>
        <v>119.872740081903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119.872740081903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119.872740081903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119.872740081903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359.6182202457089</v>
      </c>
      <c r="AA55" s="46">
        <f>SUM(B55:M55)</f>
        <v>239.745480163806</v>
      </c>
      <c r="AB55" s="46">
        <f>SUM(B55:Y55)</f>
        <v>479.4909603276119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639.9999999999998</v>
      </c>
      <c r="C66" s="36">
        <f>O66</f>
        <v>479.9999999999998</v>
      </c>
      <c r="D66" s="36">
        <f>P66</f>
        <v>639.9999999999998</v>
      </c>
      <c r="E66" s="36">
        <f>Q66</f>
        <v>639.9999999999998</v>
      </c>
      <c r="F66" s="36">
        <f>R66</f>
        <v>639.9999999999998</v>
      </c>
      <c r="G66" s="36">
        <f>S66</f>
        <v>639.9999999999998</v>
      </c>
      <c r="H66" s="36">
        <f>T66</f>
        <v>639.9999999999998</v>
      </c>
      <c r="I66" s="36">
        <f>U66</f>
        <v>479.9999999999998</v>
      </c>
      <c r="J66" s="36">
        <f>V66</f>
        <v>639.9999999999998</v>
      </c>
      <c r="K66" s="36">
        <f>W66</f>
        <v>639.9999999999998</v>
      </c>
      <c r="L66" s="36">
        <f>X66</f>
        <v>639.9999999999998</v>
      </c>
      <c r="M66" s="36">
        <f>Y66</f>
        <v>639.9999999999998</v>
      </c>
      <c r="N66" s="46">
        <f>SUM(N67:N71)</f>
        <v>639.9999999999998</v>
      </c>
      <c r="O66" s="46">
        <f>SUM(O67:O71)</f>
        <v>479.9999999999998</v>
      </c>
      <c r="P66" s="46">
        <f>SUM(P67:P71)</f>
        <v>639.9999999999998</v>
      </c>
      <c r="Q66" s="46">
        <f>SUM(Q67:Q71)</f>
        <v>639.9999999999998</v>
      </c>
      <c r="R66" s="46">
        <f>SUM(R67:R71)</f>
        <v>639.9999999999998</v>
      </c>
      <c r="S66" s="46">
        <f>SUM(S67:S71)</f>
        <v>639.9999999999998</v>
      </c>
      <c r="T66" s="46">
        <f>SUM(T67:T71)</f>
        <v>639.9999999999998</v>
      </c>
      <c r="U66" s="46">
        <f>SUM(U67:U71)</f>
        <v>479.9999999999998</v>
      </c>
      <c r="V66" s="46">
        <f>SUM(V67:V71)</f>
        <v>639.9999999999998</v>
      </c>
      <c r="W66" s="46">
        <f>SUM(W67:W71)</f>
        <v>639.9999999999998</v>
      </c>
      <c r="X66" s="46">
        <f>SUM(X67:X71)</f>
        <v>639.9999999999998</v>
      </c>
      <c r="Y66" s="46">
        <f>SUM(Y67:Y71)</f>
        <v>639.9999999999998</v>
      </c>
      <c r="Z66" s="46">
        <f>SUMIF($B$13:$Y$13,"Yes",B66:Y66)</f>
        <v>8479.999999999998</v>
      </c>
      <c r="AA66" s="46">
        <f>SUM(B66:M66)</f>
        <v>7359.999999999999</v>
      </c>
      <c r="AB66" s="46">
        <f>SUM(B66:Y66)</f>
        <v>14720</v>
      </c>
    </row>
    <row r="67" spans="1:30" hidden="true" outlineLevel="1">
      <c r="A67" s="181" t="str">
        <f>Calculations!$A$4</f>
        <v>Beans</v>
      </c>
      <c r="B67" s="36">
        <f>N67</f>
        <v>159.9999999999999</v>
      </c>
      <c r="C67" s="36">
        <f>O67</f>
        <v>0</v>
      </c>
      <c r="D67" s="36">
        <f>P67</f>
        <v>159.9999999999999</v>
      </c>
      <c r="E67" s="36">
        <f>Q67</f>
        <v>159.9999999999999</v>
      </c>
      <c r="F67" s="36">
        <f>R67</f>
        <v>159.9999999999999</v>
      </c>
      <c r="G67" s="36">
        <f>S67</f>
        <v>159.9999999999999</v>
      </c>
      <c r="H67" s="36">
        <f>T67</f>
        <v>159.9999999999999</v>
      </c>
      <c r="I67" s="36">
        <f>U67</f>
        <v>0</v>
      </c>
      <c r="J67" s="36">
        <f>V67</f>
        <v>159.9999999999999</v>
      </c>
      <c r="K67" s="36">
        <f>W67</f>
        <v>159.9999999999999</v>
      </c>
      <c r="L67" s="36">
        <f>X67</f>
        <v>159.9999999999999</v>
      </c>
      <c r="M67" s="36">
        <f>Y67</f>
        <v>159.9999999999999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159.9999999999999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159.9999999999999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159.9999999999999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159.9999999999999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159.9999999999999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159.9999999999999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159.9999999999999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159.9999999999999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159.9999999999999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159.9999999999999</v>
      </c>
      <c r="Z67" s="46">
        <f>SUMIF($B$13:$Y$13,"Yes",B67:Y67)</f>
        <v>1759.999999999999</v>
      </c>
      <c r="AA67" s="46">
        <f>SUM(B67:M67)</f>
        <v>1599.999999999999</v>
      </c>
      <c r="AB67" s="46">
        <f>SUM(B67:Y67)</f>
        <v>3199.999999999999</v>
      </c>
    </row>
    <row r="68" spans="1:30" hidden="true" outlineLevel="1">
      <c r="A68" s="181" t="str">
        <f>Calculations!$A$5</f>
        <v>Maize</v>
      </c>
      <c r="B68" s="36">
        <f>N68</f>
        <v>479.9999999999998</v>
      </c>
      <c r="C68" s="36">
        <f>O68</f>
        <v>479.9999999999998</v>
      </c>
      <c r="D68" s="36">
        <f>P68</f>
        <v>479.9999999999998</v>
      </c>
      <c r="E68" s="36">
        <f>Q68</f>
        <v>479.9999999999998</v>
      </c>
      <c r="F68" s="36">
        <f>R68</f>
        <v>479.9999999999998</v>
      </c>
      <c r="G68" s="36">
        <f>S68</f>
        <v>479.9999999999998</v>
      </c>
      <c r="H68" s="36">
        <f>T68</f>
        <v>479.9999999999998</v>
      </c>
      <c r="I68" s="36">
        <f>U68</f>
        <v>479.9999999999998</v>
      </c>
      <c r="J68" s="36">
        <f>V68</f>
        <v>479.9999999999998</v>
      </c>
      <c r="K68" s="36">
        <f>W68</f>
        <v>479.9999999999998</v>
      </c>
      <c r="L68" s="36">
        <f>X68</f>
        <v>479.9999999999998</v>
      </c>
      <c r="M68" s="36">
        <f>Y68</f>
        <v>479.9999999999998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479.9999999999998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479.9999999999998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479.9999999999998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479.9999999999998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479.9999999999998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479.9999999999998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479.9999999999998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479.9999999999998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479.9999999999998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479.9999999999998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479.9999999999998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479.9999999999998</v>
      </c>
      <c r="Z68" s="46">
        <f>SUMIF($B$13:$Y$13,"Yes",B68:Y68)</f>
        <v>6719.999999999999</v>
      </c>
      <c r="AA68" s="46">
        <f>SUM(B68:M68)</f>
        <v>5759.999999999999</v>
      </c>
      <c r="AB68" s="46">
        <f>SUM(B68:Y68)</f>
        <v>11520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60000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60000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120000</v>
      </c>
      <c r="AA72" s="46">
        <f>SUM(B72:M72)</f>
        <v>60000</v>
      </c>
      <c r="AB72" s="46">
        <f>SUM(B72:Y72)</f>
        <v>120000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350000</v>
      </c>
      <c r="C79" s="46">
        <f>Inputs!$B$31</f>
        <v>350000</v>
      </c>
      <c r="D79" s="46">
        <f>Inputs!$B$31</f>
        <v>350000</v>
      </c>
      <c r="E79" s="46">
        <f>Inputs!$B$31</f>
        <v>350000</v>
      </c>
      <c r="F79" s="46">
        <f>Inputs!$B$31</f>
        <v>350000</v>
      </c>
      <c r="G79" s="46">
        <f>Inputs!$B$31</f>
        <v>350000</v>
      </c>
      <c r="H79" s="46">
        <f>Inputs!$B$31</f>
        <v>350000</v>
      </c>
      <c r="I79" s="46">
        <f>Inputs!$B$31</f>
        <v>350000</v>
      </c>
      <c r="J79" s="46">
        <f>Inputs!$B$31</f>
        <v>350000</v>
      </c>
      <c r="K79" s="46">
        <f>Inputs!$B$31</f>
        <v>350000</v>
      </c>
      <c r="L79" s="46">
        <f>Inputs!$B$31</f>
        <v>350000</v>
      </c>
      <c r="M79" s="46">
        <f>Inputs!$B$31</f>
        <v>350000</v>
      </c>
      <c r="N79" s="46">
        <f>Inputs!$B$31</f>
        <v>350000</v>
      </c>
      <c r="O79" s="46">
        <f>Inputs!$B$31</f>
        <v>350000</v>
      </c>
      <c r="P79" s="46">
        <f>Inputs!$B$31</f>
        <v>350000</v>
      </c>
      <c r="Q79" s="46">
        <f>Inputs!$B$31</f>
        <v>350000</v>
      </c>
      <c r="R79" s="46">
        <f>Inputs!$B$31</f>
        <v>350000</v>
      </c>
      <c r="S79" s="46">
        <f>Inputs!$B$31</f>
        <v>350000</v>
      </c>
      <c r="T79" s="46">
        <f>Inputs!$B$31</f>
        <v>350000</v>
      </c>
      <c r="U79" s="46">
        <f>Inputs!$B$31</f>
        <v>350000</v>
      </c>
      <c r="V79" s="46">
        <f>Inputs!$B$31</f>
        <v>350000</v>
      </c>
      <c r="W79" s="46">
        <f>Inputs!$B$31</f>
        <v>350000</v>
      </c>
      <c r="X79" s="46">
        <f>Inputs!$B$31</f>
        <v>350000</v>
      </c>
      <c r="Y79" s="46">
        <f>Inputs!$B$31</f>
        <v>350000</v>
      </c>
      <c r="Z79" s="46">
        <f>SUMIF($B$13:$Y$13,"Yes",B79:Y79)</f>
        <v>4900000</v>
      </c>
      <c r="AA79" s="46">
        <f>SUM(B79:M79)</f>
        <v>4200000</v>
      </c>
      <c r="AB79" s="46">
        <f>SUM(B79:Y79)</f>
        <v>8400000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800000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800000</v>
      </c>
      <c r="AA80" s="46">
        <f>SUM(B80:M80)</f>
        <v>800000</v>
      </c>
      <c r="AB80" s="46">
        <f>SUM(B80:Y80)</f>
        <v>800000</v>
      </c>
    </row>
    <row r="81" spans="1:30">
      <c r="A81" s="43" t="s">
        <v>51</v>
      </c>
      <c r="B81" s="46">
        <f>(SUM($AA$18:$AA$29)-SUM($AA$36,$AA$42,$AA$48,$AA$54,$AA$60,$AA$66,$AA$72:$AA$79))*Parameters!$B$37/12</f>
        <v>97505.28582271854</v>
      </c>
      <c r="C81" s="46">
        <f>(SUM($AA$18:$AA$29)-SUM($AA$36,$AA$42,$AA$48,$AA$54,$AA$60,$AA$66,$AA$72:$AA$79))*Parameters!$B$37/12</f>
        <v>97505.28582271854</v>
      </c>
      <c r="D81" s="46">
        <f>(SUM($AA$18:$AA$29)-SUM($AA$36,$AA$42,$AA$48,$AA$54,$AA$60,$AA$66,$AA$72:$AA$79))*Parameters!$B$37/12</f>
        <v>97505.28582271854</v>
      </c>
      <c r="E81" s="46">
        <f>(SUM($AA$18:$AA$29)-SUM($AA$36,$AA$42,$AA$48,$AA$54,$AA$60,$AA$66,$AA$72:$AA$79))*Parameters!$B$37/12</f>
        <v>97505.28582271854</v>
      </c>
      <c r="F81" s="46">
        <f>(SUM($AA$18:$AA$29)-SUM($AA$36,$AA$42,$AA$48,$AA$54,$AA$60,$AA$66,$AA$72:$AA$79))*Parameters!$B$37/12</f>
        <v>97505.28582271854</v>
      </c>
      <c r="G81" s="46">
        <f>(SUM($AA$18:$AA$29)-SUM($AA$36,$AA$42,$AA$48,$AA$54,$AA$60,$AA$66,$AA$72:$AA$79))*Parameters!$B$37/12</f>
        <v>97505.28582271854</v>
      </c>
      <c r="H81" s="46">
        <f>(SUM($AA$18:$AA$29)-SUM($AA$36,$AA$42,$AA$48,$AA$54,$AA$60,$AA$66,$AA$72:$AA$79))*Parameters!$B$37/12</f>
        <v>97505.28582271854</v>
      </c>
      <c r="I81" s="46">
        <f>(SUM($AA$18:$AA$29)-SUM($AA$36,$AA$42,$AA$48,$AA$54,$AA$60,$AA$66,$AA$72:$AA$79))*Parameters!$B$37/12</f>
        <v>97505.28582271854</v>
      </c>
      <c r="J81" s="46">
        <f>(SUM($AA$18:$AA$29)-SUM($AA$36,$AA$42,$AA$48,$AA$54,$AA$60,$AA$66,$AA$72:$AA$79))*Parameters!$B$37/12</f>
        <v>97505.28582271854</v>
      </c>
      <c r="K81" s="46">
        <f>(SUM($AA$18:$AA$29)-SUM($AA$36,$AA$42,$AA$48,$AA$54,$AA$60,$AA$66,$AA$72:$AA$79))*Parameters!$B$37/12</f>
        <v>97505.28582271854</v>
      </c>
      <c r="L81" s="46">
        <f>(SUM($AA$18:$AA$29)-SUM($AA$36,$AA$42,$AA$48,$AA$54,$AA$60,$AA$66,$AA$72:$AA$79))*Parameters!$B$37/12</f>
        <v>97505.28582271854</v>
      </c>
      <c r="M81" s="46">
        <f>(SUM($AA$18:$AA$29)-SUM($AA$36,$AA$42,$AA$48,$AA$54,$AA$60,$AA$66,$AA$72:$AA$79))*Parameters!$B$37/12</f>
        <v>97505.28582271854</v>
      </c>
      <c r="N81" s="46">
        <f>(SUM($AA$18:$AA$29)-SUM($AA$36,$AA$42,$AA$48,$AA$54,$AA$60,$AA$66,$AA$72:$AA$79))*Parameters!$B$37/12</f>
        <v>97505.28582271854</v>
      </c>
      <c r="O81" s="46">
        <f>(SUM($AA$18:$AA$29)-SUM($AA$36,$AA$42,$AA$48,$AA$54,$AA$60,$AA$66,$AA$72:$AA$79))*Parameters!$B$37/12</f>
        <v>97505.28582271854</v>
      </c>
      <c r="P81" s="46">
        <f>(SUM($AA$18:$AA$29)-SUM($AA$36,$AA$42,$AA$48,$AA$54,$AA$60,$AA$66,$AA$72:$AA$79))*Parameters!$B$37/12</f>
        <v>97505.28582271854</v>
      </c>
      <c r="Q81" s="46">
        <f>(SUM($AA$18:$AA$29)-SUM($AA$36,$AA$42,$AA$48,$AA$54,$AA$60,$AA$66,$AA$72:$AA$79))*Parameters!$B$37/12</f>
        <v>97505.28582271854</v>
      </c>
      <c r="R81" s="46">
        <f>(SUM($AA$18:$AA$29)-SUM($AA$36,$AA$42,$AA$48,$AA$54,$AA$60,$AA$66,$AA$72:$AA$79))*Parameters!$B$37/12</f>
        <v>97505.28582271854</v>
      </c>
      <c r="S81" s="46">
        <f>(SUM($AA$18:$AA$29)-SUM($AA$36,$AA$42,$AA$48,$AA$54,$AA$60,$AA$66,$AA$72:$AA$79))*Parameters!$B$37/12</f>
        <v>97505.28582271854</v>
      </c>
      <c r="T81" s="46">
        <f>(SUM($AA$18:$AA$29)-SUM($AA$36,$AA$42,$AA$48,$AA$54,$AA$60,$AA$66,$AA$72:$AA$79))*Parameters!$B$37/12</f>
        <v>97505.28582271854</v>
      </c>
      <c r="U81" s="46">
        <f>(SUM($AA$18:$AA$29)-SUM($AA$36,$AA$42,$AA$48,$AA$54,$AA$60,$AA$66,$AA$72:$AA$79))*Parameters!$B$37/12</f>
        <v>97505.28582271854</v>
      </c>
      <c r="V81" s="46">
        <f>(SUM($AA$18:$AA$29)-SUM($AA$36,$AA$42,$AA$48,$AA$54,$AA$60,$AA$66,$AA$72:$AA$79))*Parameters!$B$37/12</f>
        <v>97505.28582271854</v>
      </c>
      <c r="W81" s="46">
        <f>(SUM($AA$18:$AA$29)-SUM($AA$36,$AA$42,$AA$48,$AA$54,$AA$60,$AA$66,$AA$72:$AA$79))*Parameters!$B$37/12</f>
        <v>97505.28582271854</v>
      </c>
      <c r="X81" s="46">
        <f>(SUM($AA$18:$AA$29)-SUM($AA$36,$AA$42,$AA$48,$AA$54,$AA$60,$AA$66,$AA$72:$AA$79))*Parameters!$B$37/12</f>
        <v>97505.28582271854</v>
      </c>
      <c r="Y81" s="46">
        <f>(SUM($AA$18:$AA$29)-SUM($AA$36,$AA$42,$AA$48,$AA$54,$AA$60,$AA$66,$AA$72:$AA$79))*Parameters!$B$37/12</f>
        <v>97505.28582271854</v>
      </c>
      <c r="Z81" s="46">
        <f>SUMIF($B$13:$Y$13,"Yes",B81:Y81)</f>
        <v>1365074.00151806</v>
      </c>
      <c r="AA81" s="46">
        <f>SUM(B81:M81)</f>
        <v>1170063.429872622</v>
      </c>
      <c r="AB81" s="46">
        <f>SUM(B81:Y81)</f>
        <v>2340126.859745245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508265.1585628004</v>
      </c>
      <c r="C88" s="19">
        <f>SUM(C72:C82,C66,C60,C54,C48,C42,C36)</f>
        <v>1247985.285822719</v>
      </c>
      <c r="D88" s="19">
        <f>SUM(D72:D82,D66,D60,D54,D48,D42,D36)</f>
        <v>452645.2858227185</v>
      </c>
      <c r="E88" s="19">
        <f>SUM(E72:E82,E66,E60,E54,E48,E42,E36)</f>
        <v>450748.2858227185</v>
      </c>
      <c r="F88" s="19">
        <f>SUM(F72:F82,F66,F60,F54,F48,F42,F36)</f>
        <v>451145.2858227185</v>
      </c>
      <c r="G88" s="19">
        <f>SUM(G72:G82,G66,G60,G54,G48,G42,G36)</f>
        <v>448145.2858227185</v>
      </c>
      <c r="H88" s="19">
        <f>SUM(H72:H82,H66,H60,H54,H48,H42,H36)</f>
        <v>448265.1585628004</v>
      </c>
      <c r="I88" s="19">
        <f>SUM(I72:I82,I66,I60,I54,I48,I42,I36)</f>
        <v>447985.2858227185</v>
      </c>
      <c r="J88" s="19">
        <f>SUM(J72:J82,J66,J60,J54,J48,J42,J36)</f>
        <v>452645.2858227185</v>
      </c>
      <c r="K88" s="19">
        <f>SUM(K72:K82,K66,K60,K54,K48,K42,K36)</f>
        <v>448145.2858227185</v>
      </c>
      <c r="L88" s="19">
        <f>SUM(L72:L82,L66,L60,L54,L48,L42,L36)</f>
        <v>451145.2858227185</v>
      </c>
      <c r="M88" s="19">
        <f>SUM(M72:M82,M66,M60,M54,M48,M42,M36)</f>
        <v>448145.2858227185</v>
      </c>
      <c r="N88" s="19">
        <f>SUM(N72:N82,N66,N60,N54,N48,N42,N36)</f>
        <v>508265.1585628004</v>
      </c>
      <c r="O88" s="19">
        <f>SUM(O72:O82,O66,O60,O54,O48,O42,O36)</f>
        <v>447985.2858227185</v>
      </c>
      <c r="P88" s="19">
        <f>SUM(P72:P82,P66,P60,P54,P48,P42,P36)</f>
        <v>452645.2858227185</v>
      </c>
      <c r="Q88" s="19">
        <f>SUM(Q72:Q82,Q66,Q60,Q54,Q48,Q42,Q36)</f>
        <v>450748.2858227185</v>
      </c>
      <c r="R88" s="19">
        <f>SUM(R72:R82,R66,R60,R54,R48,R42,R36)</f>
        <v>451145.2858227185</v>
      </c>
      <c r="S88" s="19">
        <f>SUM(S72:S82,S66,S60,S54,S48,S42,S36)</f>
        <v>448145.2858227185</v>
      </c>
      <c r="T88" s="19">
        <f>SUM(T72:T82,T66,T60,T54,T48,T42,T36)</f>
        <v>448265.1585628004</v>
      </c>
      <c r="U88" s="19">
        <f>SUM(U72:U82,U66,U60,U54,U48,U42,U36)</f>
        <v>447985.2858227185</v>
      </c>
      <c r="V88" s="19">
        <f>SUM(V72:V82,V66,V60,V54,V48,V42,V36)</f>
        <v>452645.2858227185</v>
      </c>
      <c r="W88" s="19">
        <f>SUM(W72:W82,W66,W60,W54,W48,W42,W36)</f>
        <v>448145.2858227185</v>
      </c>
      <c r="X88" s="19">
        <f>SUM(X72:X82,X66,X60,X54,X48,X42,X36)</f>
        <v>451145.2858227185</v>
      </c>
      <c r="Y88" s="19">
        <f>SUM(Y72:Y82,Y66,Y60,Y54,Y48,Y42,Y36)</f>
        <v>448145.2858227185</v>
      </c>
      <c r="Z88" s="19">
        <f>SUMIF($B$13:$Y$13,"Yes",B88:Y88)</f>
        <v>7211516.619738305</v>
      </c>
      <c r="AA88" s="19">
        <f>SUM(B88:M88)</f>
        <v>6255266.175352786</v>
      </c>
      <c r="AB88" s="19">
        <f>SUM(B88:Y88)</f>
        <v>11710532.35070558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60000</v>
      </c>
    </row>
    <row r="101" spans="1:30" customHeight="1" ht="15.75">
      <c r="A101" s="1" t="s">
        <v>67</v>
      </c>
      <c r="B101" s="19">
        <f>SUM(B94:B100)</f>
        <v>460000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30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30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80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600000</v>
      </c>
    </row>
    <row r="31" spans="1:48">
      <c r="A31" s="5" t="s">
        <v>117</v>
      </c>
      <c r="B31" s="158">
        <v>350000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 t="s">
        <v>63</v>
      </c>
      <c r="B35" s="159">
        <v>800000</v>
      </c>
      <c r="C35" s="145" t="s">
        <v>123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93</v>
      </c>
    </row>
    <row r="41" spans="1:48">
      <c r="A41" s="55" t="s">
        <v>126</v>
      </c>
      <c r="B41" s="140">
        <v>60000</v>
      </c>
    </row>
    <row r="42" spans="1:48">
      <c r="A42" s="55" t="s">
        <v>127</v>
      </c>
      <c r="B42" s="139" t="s">
        <v>128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93</v>
      </c>
    </row>
    <row r="45" spans="1:48">
      <c r="A45" s="56" t="s">
        <v>132</v>
      </c>
      <c r="B45" s="161"/>
    </row>
    <row r="46" spans="1:48" customHeight="1" ht="30">
      <c r="A46" s="57" t="s">
        <v>133</v>
      </c>
      <c r="B46" s="161">
        <v>50000</v>
      </c>
    </row>
    <row r="47" spans="1:48" customHeight="1" ht="30">
      <c r="A47" s="57" t="s">
        <v>134</v>
      </c>
      <c r="B47" s="161">
        <v>300000</v>
      </c>
    </row>
    <row r="48" spans="1:48" customHeight="1" ht="30">
      <c r="A48" s="57" t="s">
        <v>135</v>
      </c>
      <c r="B48" s="161">
        <v>60000</v>
      </c>
    </row>
    <row r="49" spans="1:48" customHeight="1" ht="30">
      <c r="A49" s="57" t="s">
        <v>136</v>
      </c>
      <c r="B49" s="161">
        <v>50000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200000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350000</v>
      </c>
      <c r="B57" s="157">
        <v>0</v>
      </c>
      <c r="C57" s="164" t="s">
        <v>148</v>
      </c>
      <c r="D57" s="165" t="s">
        <v>146</v>
      </c>
      <c r="E57" s="165" t="s">
        <v>92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151</v>
      </c>
      <c r="C65" s="10" t="s">
        <v>152</v>
      </c>
    </row>
    <row r="66" spans="1:48">
      <c r="A66" s="142" t="s">
        <v>128</v>
      </c>
      <c r="B66" s="159">
        <v>333250</v>
      </c>
      <c r="C66" s="163">
        <v>344682</v>
      </c>
      <c r="D66" s="49">
        <f>INDEX(Parameters!$D$79:$D$90,MATCH(Inputs!A66,Parameters!$C$79:$C$90,0))</f>
        <v>12</v>
      </c>
    </row>
    <row r="67" spans="1:48">
      <c r="A67" s="143" t="s">
        <v>153</v>
      </c>
      <c r="B67" s="157">
        <v>401601</v>
      </c>
      <c r="C67" s="165">
        <v>410260</v>
      </c>
      <c r="D67" s="49">
        <f>INDEX(Parameters!$D$79:$D$90,MATCH(Inputs!A67,Parameters!$C$79:$C$90,0))</f>
        <v>11</v>
      </c>
    </row>
    <row r="68" spans="1:48">
      <c r="A68" s="143" t="s">
        <v>154</v>
      </c>
      <c r="B68" s="157">
        <v>338305</v>
      </c>
      <c r="C68" s="165">
        <v>333682</v>
      </c>
      <c r="D68" s="49">
        <f>INDEX(Parameters!$D$79:$D$90,MATCH(Inputs!A68,Parameters!$C$79:$C$90,0))</f>
        <v>10</v>
      </c>
    </row>
    <row r="69" spans="1:48">
      <c r="A69" s="143" t="s">
        <v>155</v>
      </c>
      <c r="B69" s="157">
        <v>397556</v>
      </c>
      <c r="C69" s="165">
        <v>391719</v>
      </c>
      <c r="D69" s="49">
        <f>INDEX(Parameters!$D$79:$D$90,MATCH(Inputs!A69,Parameters!$C$79:$C$90,0))</f>
        <v>9</v>
      </c>
    </row>
    <row r="70" spans="1:48">
      <c r="A70" s="143" t="s">
        <v>156</v>
      </c>
      <c r="B70" s="157">
        <v>651900</v>
      </c>
      <c r="C70" s="165">
        <v>713079</v>
      </c>
      <c r="D70" s="49">
        <f>INDEX(Parameters!$D$79:$D$90,MATCH(Inputs!A70,Parameters!$C$79:$C$90,0))</f>
        <v>8</v>
      </c>
    </row>
    <row r="71" spans="1:48">
      <c r="A71" s="144" t="s">
        <v>157</v>
      </c>
      <c r="B71" s="158">
        <v>613180</v>
      </c>
      <c r="C71" s="167">
        <v>548239</v>
      </c>
      <c r="D71" s="49">
        <f>INDEX(Parameters!$D$79:$D$90,MATCH(Inputs!A71,Parameters!$C$79:$C$90,0))</f>
        <v>7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24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287.6945761965671</v>
      </c>
      <c r="M4" s="25">
        <f>L4*H4</f>
        <v>287.6945761965671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9867.923963542253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119.872740081903</v>
      </c>
      <c r="AB4" s="33">
        <f>H4*IFERROR(INDEX(Parameters!$A$3:$AI$17,MATCH(Calculations!A4,Parameters!$A$3:$A$17,0),MATCH(Parameters!$O$3,Parameters!$A$3:$AI$3,0)),AVERAGE(Parameters!$O$4:$O$17))*(1-Inputs!$B$25/100)</f>
        <v>3999.999999999999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>
        <f>IFERROR(DATE(YEAR(B5),MONTH(B5)+T5,DAY(B5)),"")</f>
        <v>43160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0.3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0.3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43141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43132</v>
      </c>
      <c r="F33" t="s">
        <v>163</v>
      </c>
      <c r="G33" s="128">
        <f>IF(Inputs!B79="","",DATE(YEAR(Inputs!B79),MONTH(Inputs!B79),DAY(Inputs!B79)))</f>
        <v>43097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43169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43160</v>
      </c>
      <c r="F34" t="s">
        <v>164</v>
      </c>
      <c r="G34" s="128">
        <f>IF(Inputs!B80="","",DATE(YEAR(Inputs!B80),MONTH(Inputs!B80),DAY(Inputs!B80)))</f>
        <v>43141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43200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43191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43230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43221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43261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43252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43291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43282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43322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43313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43353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43344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43383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43374</v>
      </c>
      <c r="F41" t="s">
        <v>230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43414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43405</v>
      </c>
      <c r="F42" t="s">
        <v>231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43444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43475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317</v>
      </c>
      <c r="H52" s="12" t="s">
        <v>130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130</v>
      </c>
      <c r="I77" s="12" t="s">
        <v>354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91</v>
      </c>
      <c r="F78" s="12" t="s">
        <v>356</v>
      </c>
      <c r="G78" s="12" t="s">
        <v>357</v>
      </c>
      <c r="H78" s="12" t="s">
        <v>318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123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96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97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128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