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<sst xmlns="http://schemas.openxmlformats.org/spreadsheetml/2006/main" uniqueCount="373">
  <si>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</si>
  <si>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</si>
  <si>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</si>
  <si>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</si>
  <si>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</si>
  <si>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</si>
  <si>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</si>
  <si>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</si>
  <si>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</si>
  <si>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</si>
  <si>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</si>
  <si>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</si>
  <si>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</si>
  <si>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</si>
  <si>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</si>
  <si>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</si>
  <si>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</si>
  <si>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</si>
  <si>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</si>
  <si>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</si>
  <si>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</si>
  <si>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</si>
  <si>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</si>
  <si>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</si>
  <si>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</si>
  <si>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</si>
  <si>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</si>
  <si>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</si>
  <si>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</si>
  <si>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</si>
  <si>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</si>
  <si>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</si>
  <si>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</si>
  <si>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</si>
  <si>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</si>
  <si>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</si>
  <si>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</si>
  <si>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</si>
  <si>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</si>
  <si>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</si>
  <si>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</si>
  <si>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</si>
  <si>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</si>
  <si>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</si>
  <si>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</si>
  <si>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</si>
  <si>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</si>
  <si>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</si>
  <si>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</si>
  <si>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</si>
  <si>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</si>
  <si>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</si>
  <si>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</si>
  <si>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</si>
  <si>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</si>
  <si>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</si>
  <si>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</si>
  <si>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</si>
  <si>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</si>
  <si>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</si>
  <si>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</si>
  <si>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</si>
  <si>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</si>
  <si>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</si>
  <si>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</si>
  <si>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</si>
  <si>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</si>
  <si>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</si>
  <si>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</si>
  <si>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</si>
  <si>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</si>
  <si>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</si>
  <si>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</si>
  <si>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</si>
  <si>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</si>
  <si>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</si>
  <si>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</si>
  <si>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</si>
  <si>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</si>
  <si>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</si>
  <si>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</si>
  <si>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</si>
  <si>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</si>
  <si>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</si>
  <si>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</si>
  <si>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</si>
  <si>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</si>
  <si>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</si>
  <si>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</si>
  <si>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</si>
  <si>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Shop_common variety</t>
  </si>
  <si>
    <t>Yes both manure and inorganic</t>
  </si>
  <si>
    <t>Yes</t>
  </si>
  <si>
    <t>No</t>
  </si>
  <si>
    <t>February</t>
  </si>
  <si>
    <t>Other crops</t>
  </si>
  <si>
    <t>NGO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</si>
  <si>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</si>
  <si>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</si>
  <si>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</si>
  <si>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</si>
  <si>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</si>
  <si>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</si>
  <si>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</si>
  <si>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</si>
  <si>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</si>
  <si>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</si>
  <si>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</si>
  <si>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</si>
  <si>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</si>
  <si>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</si>
  <si>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</si>
  <si>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</si>
  <si>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</si>
  <si>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Retail Shop ,Mpesa and Tailoring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</si>
  <si>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</si>
  <si>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</si>
  <si>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</si>
  <si>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</si>
  <si>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</si>
  <si>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</si>
  <si>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</si>
  <si>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June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</si>
  <si>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</si>
  <si>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</si>
  <si>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</si>
  <si>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</si>
  <si>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</si>
  <si>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</si>
  <si>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</si>
  <si>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</si>
  <si>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</si>
  <si>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</si>
  <si>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</si>
  <si>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</si>
  <si>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</si>
  <si>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</si>
  <si>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</si>
  <si>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</si>
  <si>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</si>
  <si>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</si>
  <si>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</si>
  <si>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</si>
  <si>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8/22/2016</t>
  </si>
  <si>
    <t xml:space="preserve">Mobile Banking </t>
  </si>
  <si>
    <t xml:space="preserve">Cleared with CRB </t>
  </si>
  <si>
    <t>7/27/2016</t>
  </si>
  <si>
    <t xml:space="preserve">MBanking </t>
  </si>
  <si>
    <t xml:space="preserve">Well serviced </t>
  </si>
  <si>
    <t>6/20/2016</t>
  </si>
  <si>
    <t xml:space="preserve">Well settled 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</si>
  <si>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</si>
  <si>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</si>
  <si>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</si>
  <si>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</si>
  <si>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</si>
  <si>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</si>
  <si>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</si>
  <si>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</si>
  <si>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</si>
  <si>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</si>
  <si>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</si>
  <si>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2017/12/28</t>
  </si>
  <si>
    <t>Loan terms</t>
  </si>
  <si>
    <t>Expected disbursement date</t>
  </si>
  <si>
    <t>Expected first repayment date</t>
  </si>
  <si>
    <t>2018/2/5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</si>
  <si>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</si>
  <si>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</si>
  <si>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</si>
  <si>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</si>
  <si>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</si>
  <si>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</si>
  <si>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</si>
  <si>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</si>
  <si>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</si>
  <si>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</si>
  <si>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</si>
  <si>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</si>
  <si>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</si>
  <si>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</si>
  <si>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</si>
  <si>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</si>
  <si>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</si>
  <si>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</si>
  <si>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</si>
  <si>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</si>
  <si>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</si>
  <si>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</si>
  <si>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</si>
  <si>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</si>
  <si>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</si>
  <si>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</si>
  <si>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</si>
  <si>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</si>
  <si>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</si>
  <si>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</si>
  <si>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</si>
  <si>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</si>
  <si>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</si>
  <si>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</si>
  <si>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</si>
  <si>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</si>
  <si>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</si>
  <si>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</si>
  <si>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</si>
  <si>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</si>
  <si>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</si>
  <si>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</si>
  <si>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</si>
  <si>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</si>
  <si>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</si>
  <si>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</si>
  <si>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</si>
  <si>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</si>
  <si>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</si>
  <si>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</si>
  <si>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</si>
  <si>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</si>
  <si>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</si>
  <si>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</si>
  <si>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</si>
  <si>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</si>
  <si>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</si>
  <si>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</si>
  <si>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</si>
  <si>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</si>
  <si>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</si>
  <si>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</si>
  <si>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</si>
  <si>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</si>
  <si>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</si>
  <si>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</si>
  <si>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</si>
  <si>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</si>
  <si>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</si>
  <si>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</si>
  <si>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</si>
  <si>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</si>
  <si>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</si>
  <si>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</si>
  <si>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</si>
  <si>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</si>
  <si>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</si>
  <si>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</si>
  <si>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</si>
  <si>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</si>
  <si>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</si>
  <si>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</si>
  <si>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</si>
  <si>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</si>
  <si>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</si>
  <si>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</si>
  <si>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</si>
  <si>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</si>
  <si>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</si>
  <si>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</si>
  <si>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</si>
  <si>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</si>
  <si>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</si>
  <si>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</si>
  <si>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</si>
  <si>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</si>
  <si>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</si>
  <si>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</si>
  <si>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</si>
  <si>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</si>
  <si>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</si>
  <si>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</si>
  <si>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</si>
  <si>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</si>
  <si>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</si>
  <si>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</si>
  <si>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</si>
  <si>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</si>
  <si>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</si>
  <si>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</si>
  <si>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</si>
  <si>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</si>
  <si>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</si>
  <si>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</si>
  <si>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</si>
  <si>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</si>
  <si>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</si>
  <si>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</si>
  <si>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</si>
  <si>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</si>
  <si>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</si>
  <si>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</si>
  <si>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</si>
  <si>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</si>
  <si>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</si>
  <si>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</si>
  <si>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</si>
  <si>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</si>
  <si>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</si>
  <si>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</si>
  <si>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</si>
  <si>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</si>
  <si>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</si>
  <si>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</si>
  <si>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</si>
  <si>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</si>
  <si>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</si>
  <si>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</si>
  <si>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</si>
  <si>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</si>
  <si>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</si>
  <si>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</si>
  <si>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</si>
  <si>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</si>
  <si>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</si>
  <si>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</si>
  <si>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</si>
  <si>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</si>
  <si>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</si>
  <si>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</si>
  <si>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</si>
  <si>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</si>
  <si>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</si>
  <si>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</si>
  <si>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</si>
  <si>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</si>
  <si>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</si>
  <si>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</si>
  <si>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</si>
  <si>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</si>
  <si>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</si>
  <si>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</si>
  <si>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</si>
  <si>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</si>
  <si>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</si>
  <si>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</si>
  <si>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</si>
  <si>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</si>
  <si>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</si>
  <si>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</si>
  <si>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</si>
  <si>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</si>
  <si>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</si>
  <si>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</si>
  <si>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</si>
  <si>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</si>
  <si>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</si>
  <si>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</si>
  <si>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</si>
  <si>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</si>
  <si>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</si>
  <si>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</si>
  <si>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</si>
  <si>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</si>
  <si>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</si>
  <si>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</si>
  <si>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</si>
  <si>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</si>
  <si>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</si>
  <si>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</si>
  <si>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</si>
  <si>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</si>
  <si>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</si>
  <si>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</si>
  <si>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</si>
  <si>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</si>
  <si>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</si>
  <si>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</si>
  <si>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</si>
  <si>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</si>
  <si>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Yes without the use of a pump</t>
  </si>
  <si>
    <t>Shop_certified variety</t>
  </si>
  <si>
    <t>March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</si>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</sst>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July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Retail Shop ,Mpesa and Tailoring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0.2088366683775805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July 2018</v>
      </c>
    </row>
    <row r="13" spans="1:7">
      <c r="B13" s="1" t="s">
        <v>8</v>
      </c>
      <c r="C13" s="67">
        <f>IFERROR(Output!B107/Output!B101,"")</f>
        <v>0.08793103448275862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326438.1999999999</v>
      </c>
    </row>
    <row r="18" spans="1:7">
      <c r="B18" s="1" t="s">
        <v>12</v>
      </c>
      <c r="C18" s="36">
        <f>MIN(Output!B6:M6)</f>
        <v>-425913.2333333334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2018</v>
      </c>
    </row>
    <row r="20" spans="1:7">
      <c r="B20" s="1" t="s">
        <v>14</v>
      </c>
      <c r="C20" s="36">
        <f>MAX(Output!B6:M6)</f>
        <v>74086.76666666666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1600</v>
      </c>
    </row>
    <row r="25" spans="1:7">
      <c r="B25" s="1" t="s">
        <v>18</v>
      </c>
      <c r="C25" s="36">
        <f>MAX(Inputs!A56:A60)</f>
        <v>1600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0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0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1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74086.76666666666</v>
      </c>
      <c r="C6" s="51">
        <f>C30-C88</f>
        <v>74086.76666666666</v>
      </c>
      <c r="D6" s="51">
        <f>D30-D88</f>
        <v>11483.76666666666</v>
      </c>
      <c r="E6" s="51">
        <f>E30-E88</f>
        <v>74086.76666666666</v>
      </c>
      <c r="F6" s="51">
        <f>F30-F88</f>
        <v>74086.76666666666</v>
      </c>
      <c r="G6" s="51">
        <f>G30-G88</f>
        <v>74086.76666666666</v>
      </c>
      <c r="H6" s="51">
        <f>H30-H88</f>
        <v>-425913.2333333334</v>
      </c>
      <c r="I6" s="51">
        <f>I30-I88</f>
        <v>74086.76666666666</v>
      </c>
      <c r="J6" s="51">
        <f>J30-J88</f>
        <v>74086.76666666666</v>
      </c>
      <c r="K6" s="51">
        <f>K30-K88</f>
        <v>74086.76666666666</v>
      </c>
      <c r="L6" s="51">
        <f>L30-L88</f>
        <v>74086.76666666666</v>
      </c>
      <c r="M6" s="51">
        <f>M30-M88</f>
        <v>74086.76666666666</v>
      </c>
      <c r="N6" s="51">
        <f>N30-N88</f>
        <v>74086.76666666666</v>
      </c>
      <c r="O6" s="51">
        <f>O30-O88</f>
        <v>74086.76666666666</v>
      </c>
      <c r="P6" s="51">
        <f>P30-P88</f>
        <v>11483.76666666666</v>
      </c>
      <c r="Q6" s="51">
        <f>Q30-Q88</f>
        <v>74086.76666666666</v>
      </c>
      <c r="R6" s="51">
        <f>R30-R88</f>
        <v>74086.76666666666</v>
      </c>
      <c r="S6" s="51">
        <f>S30-S88</f>
        <v>74086.76666666666</v>
      </c>
      <c r="T6" s="51">
        <f>T30-T88</f>
        <v>74086.76666666666</v>
      </c>
      <c r="U6" s="51">
        <f>U30-U88</f>
        <v>74086.76666666666</v>
      </c>
      <c r="V6" s="51">
        <f>V30-V88</f>
        <v>74086.76666666666</v>
      </c>
      <c r="W6" s="51">
        <f>W30-W88</f>
        <v>74086.76666666666</v>
      </c>
      <c r="X6" s="51">
        <f>X30-X88</f>
        <v>74086.76666666666</v>
      </c>
      <c r="Y6" s="51">
        <f>Y30-Y88</f>
        <v>74086.76666666666</v>
      </c>
      <c r="Z6" s="51">
        <f>SUMIF($B$13:$Y$13,"Yes",B6:Y6)</f>
        <v>474611.7333333332</v>
      </c>
      <c r="AA6" s="51">
        <f>AA30-AA88</f>
        <v>326438.1999999993</v>
      </c>
      <c r="AB6" s="51">
        <f>AB30-AB88</f>
        <v>1152876.399999999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300</v>
      </c>
      <c r="I7" s="80">
        <f>IF(ISERROR(VLOOKUP(MONTH(I5),Inputs!$D$66:$D$71,1,0)),"",INDEX(Inputs!$B$66:$B$71,MATCH(MONTH(Output!I5),Inputs!$D$66:$D$71,0))-INDEX(Inputs!$C$66:$C$71,MATCH(MONTH(Output!I5),Inputs!$D$66:$D$71,0)))</f>
        <v>-81</v>
      </c>
      <c r="J7" s="80">
        <f>IF(ISERROR(VLOOKUP(MONTH(J5),Inputs!$D$66:$D$71,1,0)),"",INDEX(Inputs!$B$66:$B$71,MATCH(MONTH(Output!J5),Inputs!$D$66:$D$71,0))-INDEX(Inputs!$C$66:$C$71,MATCH(MONTH(Output!J5),Inputs!$D$66:$D$71,0)))</f>
        <v>91</v>
      </c>
      <c r="K7" s="80">
        <f>IF(ISERROR(VLOOKUP(MONTH(K5),Inputs!$D$66:$D$71,1,0)),"",INDEX(Inputs!$B$66:$B$71,MATCH(MONTH(Output!K5),Inputs!$D$66:$D$71,0))-INDEX(Inputs!$C$66:$C$71,MATCH(MONTH(Output!K5),Inputs!$D$66:$D$71,0)))</f>
        <v>-95</v>
      </c>
      <c r="L7" s="80">
        <f>IF(ISERROR(VLOOKUP(MONTH(L5),Inputs!$D$66:$D$71,1,0)),"",INDEX(Inputs!$B$66:$B$71,MATCH(MONTH(Output!L5),Inputs!$D$66:$D$71,0))-INDEX(Inputs!$C$66:$C$71,MATCH(MONTH(Output!L5),Inputs!$D$66:$D$71,0)))</f>
        <v>916</v>
      </c>
      <c r="M7" s="80">
        <f>IF(ISERROR(VLOOKUP(MONTH(M5),Inputs!$D$66:$D$71,1,0)),"",INDEX(Inputs!$B$66:$B$71,MATCH(MONTH(Output!M5),Inputs!$D$66:$D$71,0))-INDEX(Inputs!$C$66:$C$71,MATCH(MONTH(Output!M5),Inputs!$D$66:$D$71,0)))</f>
        <v>-888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300</v>
      </c>
      <c r="U7" s="80">
        <f>IF(ISERROR(VLOOKUP(MONTH(U5),Inputs!$D$66:$D$71,1,0)),"",INDEX(Inputs!$B$66:$B$71,MATCH(MONTH(Output!U5),Inputs!$D$66:$D$71,0))-INDEX(Inputs!$C$66:$C$71,MATCH(MONTH(Output!U5),Inputs!$D$66:$D$71,0)))</f>
        <v>-81</v>
      </c>
      <c r="V7" s="80">
        <f>IF(ISERROR(VLOOKUP(MONTH(V5),Inputs!$D$66:$D$71,1,0)),"",INDEX(Inputs!$B$66:$B$71,MATCH(MONTH(Output!V5),Inputs!$D$66:$D$71,0))-INDEX(Inputs!$C$66:$C$71,MATCH(MONTH(Output!V5),Inputs!$D$66:$D$71,0)))</f>
        <v>91</v>
      </c>
      <c r="W7" s="80">
        <f>IF(ISERROR(VLOOKUP(MONTH(W5),Inputs!$D$66:$D$71,1,0)),"",INDEX(Inputs!$B$66:$B$71,MATCH(MONTH(Output!W5),Inputs!$D$66:$D$71,0))-INDEX(Inputs!$C$66:$C$71,MATCH(MONTH(Output!W5),Inputs!$D$66:$D$71,0)))</f>
        <v>-95</v>
      </c>
      <c r="X7" s="80">
        <f>IF(ISERROR(VLOOKUP(MONTH(X5),Inputs!$D$66:$D$71,1,0)),"",INDEX(Inputs!$B$66:$B$71,MATCH(MONTH(Output!X5),Inputs!$D$66:$D$71,0))-INDEX(Inputs!$C$66:$C$71,MATCH(MONTH(Output!X5),Inputs!$D$66:$D$71,0)))</f>
        <v>916</v>
      </c>
      <c r="Y7" s="80">
        <f>IF(ISERROR(VLOOKUP(MONTH(Y5),Inputs!$D$66:$D$71,1,0)),"",INDEX(Inputs!$B$66:$B$71,MATCH(MONTH(Output!Y5),Inputs!$D$66:$D$71,0))-INDEX(Inputs!$C$66:$C$71,MATCH(MONTH(Output!Y5),Inputs!$D$66:$D$71,0)))</f>
        <v>-888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10000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100000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174086.7666666667</v>
      </c>
      <c r="C11" s="80">
        <f>C6+C9-C10</f>
        <v>74086.76666666666</v>
      </c>
      <c r="D11" s="80">
        <f>D6+D9-D10</f>
        <v>1483.766666666663</v>
      </c>
      <c r="E11" s="80">
        <f>E6+E9-E10</f>
        <v>64086.76666666666</v>
      </c>
      <c r="F11" s="80">
        <f>F6+F9-F10</f>
        <v>64086.76666666666</v>
      </c>
      <c r="G11" s="80">
        <f>G6+G9-G10</f>
        <v>64086.76666666666</v>
      </c>
      <c r="H11" s="80">
        <f>H6+H9-H10</f>
        <v>-435913.2333333334</v>
      </c>
      <c r="I11" s="80">
        <f>I6+I9-I10</f>
        <v>64086.76666666666</v>
      </c>
      <c r="J11" s="80">
        <f>J6+J9-J10</f>
        <v>64086.76666666666</v>
      </c>
      <c r="K11" s="80">
        <f>K6+K9-K10</f>
        <v>64086.76666666666</v>
      </c>
      <c r="L11" s="80">
        <f>L6+L9-L10</f>
        <v>64086.76666666666</v>
      </c>
      <c r="M11" s="80">
        <f>M6+M9-M10</f>
        <v>64086.76666666666</v>
      </c>
      <c r="N11" s="80">
        <f>N6+N9-N10</f>
        <v>64086.76666666666</v>
      </c>
      <c r="O11" s="80">
        <f>O6+O9-O10</f>
        <v>64086.76666666666</v>
      </c>
      <c r="P11" s="80">
        <f>P6+P9-P10</f>
        <v>11483.76666666666</v>
      </c>
      <c r="Q11" s="80">
        <f>Q6+Q9-Q10</f>
        <v>74086.76666666666</v>
      </c>
      <c r="R11" s="80">
        <f>R6+R9-R10</f>
        <v>74086.76666666666</v>
      </c>
      <c r="S11" s="80">
        <f>S6+S9-S10</f>
        <v>74086.76666666666</v>
      </c>
      <c r="T11" s="80">
        <f>T6+T9-T10</f>
        <v>74086.76666666666</v>
      </c>
      <c r="U11" s="80">
        <f>U6+U9-U10</f>
        <v>74086.76666666666</v>
      </c>
      <c r="V11" s="80">
        <f>V6+V9-V10</f>
        <v>74086.76666666666</v>
      </c>
      <c r="W11" s="80">
        <f>W6+W9-W10</f>
        <v>74086.76666666666</v>
      </c>
      <c r="X11" s="80">
        <f>X6+X9-X10</f>
        <v>74086.76666666666</v>
      </c>
      <c r="Y11" s="80">
        <f>Y6+Y9-Y10</f>
        <v>74086.76666666666</v>
      </c>
      <c r="Z11" s="85">
        <f>SUMIF($B$13:$Y$13,"Yes",B11:Y11)</f>
        <v>454611.7333333332</v>
      </c>
      <c r="AA11" s="80">
        <f>SUM(B11:M11)</f>
        <v>326438.1999999999</v>
      </c>
      <c r="AB11" s="46">
        <f>SUM(B11:Y11)</f>
        <v>1132876.399999999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0.03851230063626172</v>
      </c>
      <c r="E12" s="82">
        <f>IF(E13="Yes",IF(SUM($B$10:E10)/(SUM($B$6:E6)+SUM($B$9:E9))&lt;0,999.99,SUM($B$10:E10)/(SUM($B$6:E6)+SUM($B$9:E9))),"")</f>
        <v>0.05992615898689635</v>
      </c>
      <c r="F12" s="82">
        <f>IF(F13="Yes",IF(SUM($B$10:F10)/(SUM($B$6:F6)+SUM($B$9:F9))&lt;0,999.99,SUM($B$10:F10)/(SUM($B$6:F6)+SUM($B$9:F9))),"")</f>
        <v>0.07355991148290653</v>
      </c>
      <c r="G12" s="82">
        <f>IF(G13="Yes",IF(SUM($B$10:G10)/(SUM($B$6:G6)+SUM($B$9:G9))&lt;0,999.99,SUM($B$10:G10)/(SUM($B$6:G6)+SUM($B$9:G9))),"")</f>
        <v>0.08300174137653409</v>
      </c>
      <c r="H12" s="82">
        <f>IF(H13="Yes",IF(SUM($B$10:H10)/(SUM($B$6:H6)+SUM($B$9:H9))&lt;0,999.99,SUM($B$10:H10)/(SUM($B$6:H6)+SUM($B$9:H9))),"")</f>
        <v>0.8927875266869085</v>
      </c>
      <c r="I12" s="82">
        <f>IF(I13="Yes",IF(SUM($B$10:I10)/(SUM($B$6:I6)+SUM($B$9:I9))&lt;0,999.99,SUM($B$10:I10)/(SUM($B$6:I6)+SUM($B$9:I9))),"")</f>
        <v>0.4612151379007642</v>
      </c>
      <c r="J12" s="82">
        <f>IF(J13="Yes",IF(SUM($B$10:J10)/(SUM($B$6:J6)+SUM($B$9:J9))&lt;0,999.99,SUM($B$10:J10)/(SUM($B$6:J6)+SUM($B$9:J9))),"")</f>
        <v>0.3428382797550569</v>
      </c>
      <c r="K12" s="82">
        <f>IF(K13="Yes",IF(SUM($B$10:K10)/(SUM($B$6:K6)+SUM($B$9:K9))&lt;0,999.99,SUM($B$10:K10)/(SUM($B$6:K6)+SUM($B$9:K9))),"")</f>
        <v>0.2874960768764511</v>
      </c>
      <c r="L12" s="82">
        <f>IF(L13="Yes",IF(SUM($B$10:L10)/(SUM($B$6:L6)+SUM($B$9:L9))&lt;0,999.99,SUM($B$10:L10)/(SUM($B$6:L6)+SUM($B$9:L9))),"")</f>
        <v>0.2554268025776917</v>
      </c>
      <c r="M12" s="82">
        <f>IF(M13="Yes",IF(SUM($B$10:M10)/(SUM($B$6:M6)+SUM($B$9:M9))&lt;0,999.99,SUM($B$10:M10)/(SUM($B$6:M6)+SUM($B$9:M9))),"")</f>
        <v>0.2345005677258745</v>
      </c>
      <c r="N12" s="82">
        <f>IF(N13="Yes",IF(SUM($B$10:N10)/(SUM($B$6:N6)+SUM($B$9:N9))&lt;0,999.99,SUM($B$10:N10)/(SUM($B$6:N6)+SUM($B$9:N9))),"")</f>
        <v>0.2197692569315058</v>
      </c>
      <c r="O12" s="82">
        <f>IF(O13="Yes",IF(SUM($B$10:O10)/(SUM($B$6:O6)+SUM($B$9:O9))&lt;0,999.99,SUM($B$10:O10)/(SUM($B$6:O6)+SUM($B$9:O9))),"")</f>
        <v>0.2088366683775805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 t="str">
        <f>P18</f>
        <v>0</v>
      </c>
      <c r="E18" s="36" t="str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330000</v>
      </c>
      <c r="C29" s="37">
        <f>Inputs!$B$30</f>
        <v>330000</v>
      </c>
      <c r="D29" s="37">
        <f>Inputs!$B$30</f>
        <v>330000</v>
      </c>
      <c r="E29" s="37">
        <f>Inputs!$B$30</f>
        <v>330000</v>
      </c>
      <c r="F29" s="37">
        <f>Inputs!$B$30</f>
        <v>330000</v>
      </c>
      <c r="G29" s="37">
        <f>Inputs!$B$30</f>
        <v>330000</v>
      </c>
      <c r="H29" s="37">
        <f>Inputs!$B$30</f>
        <v>330000</v>
      </c>
      <c r="I29" s="37">
        <f>Inputs!$B$30</f>
        <v>330000</v>
      </c>
      <c r="J29" s="37">
        <f>Inputs!$B$30</f>
        <v>330000</v>
      </c>
      <c r="K29" s="37">
        <f>Inputs!$B$30</f>
        <v>330000</v>
      </c>
      <c r="L29" s="37">
        <f>Inputs!$B$30</f>
        <v>330000</v>
      </c>
      <c r="M29" s="37">
        <f>Inputs!$B$30</f>
        <v>330000</v>
      </c>
      <c r="N29" s="37">
        <f>Inputs!$B$30</f>
        <v>330000</v>
      </c>
      <c r="O29" s="37">
        <f>Inputs!$B$30</f>
        <v>330000</v>
      </c>
      <c r="P29" s="37">
        <f>Inputs!$B$30</f>
        <v>330000</v>
      </c>
      <c r="Q29" s="37">
        <f>Inputs!$B$30</f>
        <v>330000</v>
      </c>
      <c r="R29" s="37">
        <f>Inputs!$B$30</f>
        <v>330000</v>
      </c>
      <c r="S29" s="37">
        <f>Inputs!$B$30</f>
        <v>330000</v>
      </c>
      <c r="T29" s="37">
        <f>Inputs!$B$30</f>
        <v>330000</v>
      </c>
      <c r="U29" s="37">
        <f>Inputs!$B$30</f>
        <v>330000</v>
      </c>
      <c r="V29" s="37">
        <f>Inputs!$B$30</f>
        <v>330000</v>
      </c>
      <c r="W29" s="37">
        <f>Inputs!$B$30</f>
        <v>330000</v>
      </c>
      <c r="X29" s="37">
        <f>Inputs!$B$30</f>
        <v>330000</v>
      </c>
      <c r="Y29" s="37">
        <f>Inputs!$B$30</f>
        <v>330000</v>
      </c>
      <c r="Z29" s="37">
        <f>SUMIF($B$13:$Y$13,"Yes",B29:Y29)</f>
        <v>4620000</v>
      </c>
      <c r="AA29" s="37">
        <f>SUM(B29:M29)</f>
        <v>3960000</v>
      </c>
      <c r="AB29" s="37">
        <f>SUM(B29:Y29)</f>
        <v>7920000</v>
      </c>
    </row>
    <row r="30" spans="1:30" customHeight="1" ht="15.75">
      <c r="A30" s="1" t="s">
        <v>37</v>
      </c>
      <c r="B30" s="19">
        <f>SUM(B18:B29)</f>
        <v>330000</v>
      </c>
      <c r="C30" s="19">
        <f>SUM(C18:C29)</f>
        <v>330000</v>
      </c>
      <c r="D30" s="19">
        <f>SUM(D18:D29)</f>
        <v>330000</v>
      </c>
      <c r="E30" s="19">
        <f>SUM(E18:E29)</f>
        <v>330000</v>
      </c>
      <c r="F30" s="19">
        <f>SUM(F18:F29)</f>
        <v>330000</v>
      </c>
      <c r="G30" s="19">
        <f>SUM(G18:G29)</f>
        <v>330000</v>
      </c>
      <c r="H30" s="19">
        <f>SUM(H18:H29)</f>
        <v>330000</v>
      </c>
      <c r="I30" s="19">
        <f>SUM(I18:I29)</f>
        <v>330000</v>
      </c>
      <c r="J30" s="19">
        <f>SUM(J18:J29)</f>
        <v>330000</v>
      </c>
      <c r="K30" s="19">
        <f>SUM(K18:K29)</f>
        <v>330000</v>
      </c>
      <c r="L30" s="19">
        <f>SUM(L18:L29)</f>
        <v>330000</v>
      </c>
      <c r="M30" s="19">
        <f>SUM(M18:M29)</f>
        <v>330000</v>
      </c>
      <c r="N30" s="19">
        <f>SUM(N18:N29)</f>
        <v>330000</v>
      </c>
      <c r="O30" s="19">
        <f>SUM(O18:O29)</f>
        <v>330000</v>
      </c>
      <c r="P30" s="19">
        <f>SUM(P18:P29)</f>
        <v>330000</v>
      </c>
      <c r="Q30" s="19">
        <f>SUM(Q18:Q29)</f>
        <v>330000</v>
      </c>
      <c r="R30" s="19">
        <f>SUM(R18:R29)</f>
        <v>330000</v>
      </c>
      <c r="S30" s="19">
        <f>SUM(S18:S29)</f>
        <v>330000</v>
      </c>
      <c r="T30" s="19">
        <f>SUM(T18:T29)</f>
        <v>330000</v>
      </c>
      <c r="U30" s="19">
        <f>SUM(U18:U29)</f>
        <v>330000</v>
      </c>
      <c r="V30" s="19">
        <f>SUM(V18:V29)</f>
        <v>330000</v>
      </c>
      <c r="W30" s="19">
        <f>SUM(W18:W29)</f>
        <v>330000</v>
      </c>
      <c r="X30" s="19">
        <f>SUM(X18:X29)</f>
        <v>330000</v>
      </c>
      <c r="Y30" s="19">
        <f>SUM(Y18:Y29)</f>
        <v>330000</v>
      </c>
      <c r="Z30" s="19">
        <f>SUMIF($B$13:$Y$13,"Yes",B30:Y30)</f>
        <v>4620000</v>
      </c>
      <c r="AA30" s="19">
        <f>SUM(B30:M30)</f>
        <v>3960000</v>
      </c>
      <c r="AB30" s="19">
        <f>SUM(B30:Y30)</f>
        <v>7920000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2000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2000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2000</v>
      </c>
      <c r="AA36" s="36">
        <f>SUM(B36:M36)</f>
        <v>2000</v>
      </c>
      <c r="AB36" s="36">
        <f>SUM(B36:Y36)</f>
        <v>4000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2000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2000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2000</v>
      </c>
      <c r="AA37" s="36">
        <f>SUM(B37:M37)</f>
        <v>2000</v>
      </c>
      <c r="AB37" s="36">
        <f>SUM(B37:Y37)</f>
        <v>4000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303.0000000000001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303.0000000000001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303.0000000000001</v>
      </c>
      <c r="AA42" s="36">
        <f>SUM(B42:M42)</f>
        <v>303.0000000000001</v>
      </c>
      <c r="AB42" s="36">
        <f>SUM(B42:Y42)</f>
        <v>606.0000000000001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303.0000000000001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303.0000000000001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303.0000000000001</v>
      </c>
      <c r="AA43" s="36">
        <f>SUM(B43:M43)</f>
        <v>303.0000000000001</v>
      </c>
      <c r="AB43" s="36">
        <f>SUM(B43:Y43)</f>
        <v>606.0000000000001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300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300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300</v>
      </c>
      <c r="AA48" s="46">
        <f>SUM(B48:M48)</f>
        <v>300</v>
      </c>
      <c r="AB48" s="46">
        <f>SUM(B48:Y48)</f>
        <v>600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300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300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300</v>
      </c>
      <c r="AA49" s="46">
        <f>SUM(B49:M49)</f>
        <v>300</v>
      </c>
      <c r="AB49" s="46">
        <f>SUM(B49:Y49)</f>
        <v>600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60000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60000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60000</v>
      </c>
      <c r="AA72" s="46">
        <f>SUM(B72:M72)</f>
        <v>60000</v>
      </c>
      <c r="AB72" s="46">
        <f>SUM(B72:Y72)</f>
        <v>120000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210000</v>
      </c>
      <c r="C79" s="46">
        <f>Inputs!$B$31</f>
        <v>210000</v>
      </c>
      <c r="D79" s="46">
        <f>Inputs!$B$31</f>
        <v>210000</v>
      </c>
      <c r="E79" s="46">
        <f>Inputs!$B$31</f>
        <v>210000</v>
      </c>
      <c r="F79" s="46">
        <f>Inputs!$B$31</f>
        <v>210000</v>
      </c>
      <c r="G79" s="46">
        <f>Inputs!$B$31</f>
        <v>210000</v>
      </c>
      <c r="H79" s="46">
        <f>Inputs!$B$31</f>
        <v>210000</v>
      </c>
      <c r="I79" s="46">
        <f>Inputs!$B$31</f>
        <v>210000</v>
      </c>
      <c r="J79" s="46">
        <f>Inputs!$B$31</f>
        <v>210000</v>
      </c>
      <c r="K79" s="46">
        <f>Inputs!$B$31</f>
        <v>210000</v>
      </c>
      <c r="L79" s="46">
        <f>Inputs!$B$31</f>
        <v>210000</v>
      </c>
      <c r="M79" s="46">
        <f>Inputs!$B$31</f>
        <v>210000</v>
      </c>
      <c r="N79" s="46">
        <f>Inputs!$B$31</f>
        <v>210000</v>
      </c>
      <c r="O79" s="46">
        <f>Inputs!$B$31</f>
        <v>210000</v>
      </c>
      <c r="P79" s="46">
        <f>Inputs!$B$31</f>
        <v>210000</v>
      </c>
      <c r="Q79" s="46">
        <f>Inputs!$B$31</f>
        <v>210000</v>
      </c>
      <c r="R79" s="46">
        <f>Inputs!$B$31</f>
        <v>210000</v>
      </c>
      <c r="S79" s="46">
        <f>Inputs!$B$31</f>
        <v>210000</v>
      </c>
      <c r="T79" s="46">
        <f>Inputs!$B$31</f>
        <v>210000</v>
      </c>
      <c r="U79" s="46">
        <f>Inputs!$B$31</f>
        <v>210000</v>
      </c>
      <c r="V79" s="46">
        <f>Inputs!$B$31</f>
        <v>210000</v>
      </c>
      <c r="W79" s="46">
        <f>Inputs!$B$31</f>
        <v>210000</v>
      </c>
      <c r="X79" s="46">
        <f>Inputs!$B$31</f>
        <v>210000</v>
      </c>
      <c r="Y79" s="46">
        <f>Inputs!$B$31</f>
        <v>210000</v>
      </c>
      <c r="Z79" s="46">
        <f>SUMIF($B$13:$Y$13,"Yes",B79:Y79)</f>
        <v>2940000</v>
      </c>
      <c r="AA79" s="46">
        <f>SUM(B79:M79)</f>
        <v>2520000</v>
      </c>
      <c r="AB79" s="46">
        <f>SUM(B79:Y79)</f>
        <v>5040000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500000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500000</v>
      </c>
      <c r="AA80" s="46">
        <f>SUM(B80:M80)</f>
        <v>500000</v>
      </c>
      <c r="AB80" s="46">
        <f>SUM(B80:Y80)</f>
        <v>500000</v>
      </c>
    </row>
    <row r="81" spans="1:30">
      <c r="A81" s="43" t="s">
        <v>51</v>
      </c>
      <c r="B81" s="46">
        <f>(SUM($AA$18:$AA$29)-SUM($AA$36,$AA$42,$AA$48,$AA$54,$AA$60,$AA$66,$AA$72:$AA$79))*Parameters!$B$37/12</f>
        <v>45913.23333333334</v>
      </c>
      <c r="C81" s="46">
        <f>(SUM($AA$18:$AA$29)-SUM($AA$36,$AA$42,$AA$48,$AA$54,$AA$60,$AA$66,$AA$72:$AA$79))*Parameters!$B$37/12</f>
        <v>45913.23333333334</v>
      </c>
      <c r="D81" s="46">
        <f>(SUM($AA$18:$AA$29)-SUM($AA$36,$AA$42,$AA$48,$AA$54,$AA$60,$AA$66,$AA$72:$AA$79))*Parameters!$B$37/12</f>
        <v>45913.23333333334</v>
      </c>
      <c r="E81" s="46">
        <f>(SUM($AA$18:$AA$29)-SUM($AA$36,$AA$42,$AA$48,$AA$54,$AA$60,$AA$66,$AA$72:$AA$79))*Parameters!$B$37/12</f>
        <v>45913.23333333334</v>
      </c>
      <c r="F81" s="46">
        <f>(SUM($AA$18:$AA$29)-SUM($AA$36,$AA$42,$AA$48,$AA$54,$AA$60,$AA$66,$AA$72:$AA$79))*Parameters!$B$37/12</f>
        <v>45913.23333333334</v>
      </c>
      <c r="G81" s="46">
        <f>(SUM($AA$18:$AA$29)-SUM($AA$36,$AA$42,$AA$48,$AA$54,$AA$60,$AA$66,$AA$72:$AA$79))*Parameters!$B$37/12</f>
        <v>45913.23333333334</v>
      </c>
      <c r="H81" s="46">
        <f>(SUM($AA$18:$AA$29)-SUM($AA$36,$AA$42,$AA$48,$AA$54,$AA$60,$AA$66,$AA$72:$AA$79))*Parameters!$B$37/12</f>
        <v>45913.23333333334</v>
      </c>
      <c r="I81" s="46">
        <f>(SUM($AA$18:$AA$29)-SUM($AA$36,$AA$42,$AA$48,$AA$54,$AA$60,$AA$66,$AA$72:$AA$79))*Parameters!$B$37/12</f>
        <v>45913.23333333334</v>
      </c>
      <c r="J81" s="46">
        <f>(SUM($AA$18:$AA$29)-SUM($AA$36,$AA$42,$AA$48,$AA$54,$AA$60,$AA$66,$AA$72:$AA$79))*Parameters!$B$37/12</f>
        <v>45913.23333333334</v>
      </c>
      <c r="K81" s="46">
        <f>(SUM($AA$18:$AA$29)-SUM($AA$36,$AA$42,$AA$48,$AA$54,$AA$60,$AA$66,$AA$72:$AA$79))*Parameters!$B$37/12</f>
        <v>45913.23333333334</v>
      </c>
      <c r="L81" s="46">
        <f>(SUM($AA$18:$AA$29)-SUM($AA$36,$AA$42,$AA$48,$AA$54,$AA$60,$AA$66,$AA$72:$AA$79))*Parameters!$B$37/12</f>
        <v>45913.23333333334</v>
      </c>
      <c r="M81" s="46">
        <f>(SUM($AA$18:$AA$29)-SUM($AA$36,$AA$42,$AA$48,$AA$54,$AA$60,$AA$66,$AA$72:$AA$79))*Parameters!$B$37/12</f>
        <v>45913.23333333334</v>
      </c>
      <c r="N81" s="46">
        <f>(SUM($AA$18:$AA$29)-SUM($AA$36,$AA$42,$AA$48,$AA$54,$AA$60,$AA$66,$AA$72:$AA$79))*Parameters!$B$37/12</f>
        <v>45913.23333333334</v>
      </c>
      <c r="O81" s="46">
        <f>(SUM($AA$18:$AA$29)-SUM($AA$36,$AA$42,$AA$48,$AA$54,$AA$60,$AA$66,$AA$72:$AA$79))*Parameters!$B$37/12</f>
        <v>45913.23333333334</v>
      </c>
      <c r="P81" s="46">
        <f>(SUM($AA$18:$AA$29)-SUM($AA$36,$AA$42,$AA$48,$AA$54,$AA$60,$AA$66,$AA$72:$AA$79))*Parameters!$B$37/12</f>
        <v>45913.23333333334</v>
      </c>
      <c r="Q81" s="46">
        <f>(SUM($AA$18:$AA$29)-SUM($AA$36,$AA$42,$AA$48,$AA$54,$AA$60,$AA$66,$AA$72:$AA$79))*Parameters!$B$37/12</f>
        <v>45913.23333333334</v>
      </c>
      <c r="R81" s="46">
        <f>(SUM($AA$18:$AA$29)-SUM($AA$36,$AA$42,$AA$48,$AA$54,$AA$60,$AA$66,$AA$72:$AA$79))*Parameters!$B$37/12</f>
        <v>45913.23333333334</v>
      </c>
      <c r="S81" s="46">
        <f>(SUM($AA$18:$AA$29)-SUM($AA$36,$AA$42,$AA$48,$AA$54,$AA$60,$AA$66,$AA$72:$AA$79))*Parameters!$B$37/12</f>
        <v>45913.23333333334</v>
      </c>
      <c r="T81" s="46">
        <f>(SUM($AA$18:$AA$29)-SUM($AA$36,$AA$42,$AA$48,$AA$54,$AA$60,$AA$66,$AA$72:$AA$79))*Parameters!$B$37/12</f>
        <v>45913.23333333334</v>
      </c>
      <c r="U81" s="46">
        <f>(SUM($AA$18:$AA$29)-SUM($AA$36,$AA$42,$AA$48,$AA$54,$AA$60,$AA$66,$AA$72:$AA$79))*Parameters!$B$37/12</f>
        <v>45913.23333333334</v>
      </c>
      <c r="V81" s="46">
        <f>(SUM($AA$18:$AA$29)-SUM($AA$36,$AA$42,$AA$48,$AA$54,$AA$60,$AA$66,$AA$72:$AA$79))*Parameters!$B$37/12</f>
        <v>45913.23333333334</v>
      </c>
      <c r="W81" s="46">
        <f>(SUM($AA$18:$AA$29)-SUM($AA$36,$AA$42,$AA$48,$AA$54,$AA$60,$AA$66,$AA$72:$AA$79))*Parameters!$B$37/12</f>
        <v>45913.23333333334</v>
      </c>
      <c r="X81" s="46">
        <f>(SUM($AA$18:$AA$29)-SUM($AA$36,$AA$42,$AA$48,$AA$54,$AA$60,$AA$66,$AA$72:$AA$79))*Parameters!$B$37/12</f>
        <v>45913.23333333334</v>
      </c>
      <c r="Y81" s="46">
        <f>(SUM($AA$18:$AA$29)-SUM($AA$36,$AA$42,$AA$48,$AA$54,$AA$60,$AA$66,$AA$72:$AA$79))*Parameters!$B$37/12</f>
        <v>45913.23333333334</v>
      </c>
      <c r="Z81" s="46">
        <f>SUMIF($B$13:$Y$13,"Yes",B81:Y81)</f>
        <v>642785.2666666668</v>
      </c>
      <c r="AA81" s="46">
        <f>SUM(B81:M81)</f>
        <v>550958.8</v>
      </c>
      <c r="AB81" s="46">
        <f>SUM(B81:Y81)</f>
        <v>1101917.600000001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255913.2333333333</v>
      </c>
      <c r="C88" s="19">
        <f>SUM(C72:C82,C66,C60,C54,C48,C42,C36)</f>
        <v>255913.2333333333</v>
      </c>
      <c r="D88" s="19">
        <f>SUM(D72:D82,D66,D60,D54,D48,D42,D36)</f>
        <v>318516.2333333333</v>
      </c>
      <c r="E88" s="19">
        <f>SUM(E72:E82,E66,E60,E54,E48,E42,E36)</f>
        <v>255913.2333333333</v>
      </c>
      <c r="F88" s="19">
        <f>SUM(F72:F82,F66,F60,F54,F48,F42,F36)</f>
        <v>255913.2333333333</v>
      </c>
      <c r="G88" s="19">
        <f>SUM(G72:G82,G66,G60,G54,G48,G42,G36)</f>
        <v>255913.2333333333</v>
      </c>
      <c r="H88" s="19">
        <f>SUM(H72:H82,H66,H60,H54,H48,H42,H36)</f>
        <v>755913.2333333334</v>
      </c>
      <c r="I88" s="19">
        <f>SUM(I72:I82,I66,I60,I54,I48,I42,I36)</f>
        <v>255913.2333333333</v>
      </c>
      <c r="J88" s="19">
        <f>SUM(J72:J82,J66,J60,J54,J48,J42,J36)</f>
        <v>255913.2333333333</v>
      </c>
      <c r="K88" s="19">
        <f>SUM(K72:K82,K66,K60,K54,K48,K42,K36)</f>
        <v>255913.2333333333</v>
      </c>
      <c r="L88" s="19">
        <f>SUM(L72:L82,L66,L60,L54,L48,L42,L36)</f>
        <v>255913.2333333333</v>
      </c>
      <c r="M88" s="19">
        <f>SUM(M72:M82,M66,M60,M54,M48,M42,M36)</f>
        <v>255913.2333333333</v>
      </c>
      <c r="N88" s="19">
        <f>SUM(N72:N82,N66,N60,N54,N48,N42,N36)</f>
        <v>255913.2333333333</v>
      </c>
      <c r="O88" s="19">
        <f>SUM(O72:O82,O66,O60,O54,O48,O42,O36)</f>
        <v>255913.2333333333</v>
      </c>
      <c r="P88" s="19">
        <f>SUM(P72:P82,P66,P60,P54,P48,P42,P36)</f>
        <v>318516.2333333333</v>
      </c>
      <c r="Q88" s="19">
        <f>SUM(Q72:Q82,Q66,Q60,Q54,Q48,Q42,Q36)</f>
        <v>255913.2333333333</v>
      </c>
      <c r="R88" s="19">
        <f>SUM(R72:R82,R66,R60,R54,R48,R42,R36)</f>
        <v>255913.2333333333</v>
      </c>
      <c r="S88" s="19">
        <f>SUM(S72:S82,S66,S60,S54,S48,S42,S36)</f>
        <v>255913.2333333333</v>
      </c>
      <c r="T88" s="19">
        <f>SUM(T72:T82,T66,T60,T54,T48,T42,T36)</f>
        <v>255913.2333333333</v>
      </c>
      <c r="U88" s="19">
        <f>SUM(U72:U82,U66,U60,U54,U48,U42,U36)</f>
        <v>255913.2333333333</v>
      </c>
      <c r="V88" s="19">
        <f>SUM(V72:V82,V66,V60,V54,V48,V42,V36)</f>
        <v>255913.2333333333</v>
      </c>
      <c r="W88" s="19">
        <f>SUM(W72:W82,W66,W60,W54,W48,W42,W36)</f>
        <v>255913.2333333333</v>
      </c>
      <c r="X88" s="19">
        <f>SUM(X72:X82,X66,X60,X54,X48,X42,X36)</f>
        <v>255913.2333333333</v>
      </c>
      <c r="Y88" s="19">
        <f>SUM(Y72:Y82,Y66,Y60,Y54,Y48,Y42,Y36)</f>
        <v>255913.2333333333</v>
      </c>
      <c r="Z88" s="19">
        <f>SUMIF($B$13:$Y$13,"Yes",B88:Y88)</f>
        <v>4145388.266666668</v>
      </c>
      <c r="AA88" s="19">
        <f>SUM(B88:M88)</f>
        <v>3633561.800000001</v>
      </c>
      <c r="AB88" s="19">
        <f>SUM(B88:Y88)</f>
        <v>6767123.600000001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180000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600000</v>
      </c>
    </row>
    <row r="101" spans="1:30" customHeight="1" ht="15.75">
      <c r="A101" s="1" t="s">
        <v>67</v>
      </c>
      <c r="B101" s="19">
        <f>SUM(B94:B100)</f>
        <v>1160000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80</v>
      </c>
      <c r="N7" s="153">
        <v>1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96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80</v>
      </c>
      <c r="N8" s="154">
        <v>1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111</v>
      </c>
      <c r="B25" s="177">
        <v>100</v>
      </c>
    </row>
    <row r="27" spans="1:48">
      <c r="A27" s="14" t="s">
        <v>112</v>
      </c>
    </row>
    <row r="29" spans="1:48">
      <c r="A29" s="45" t="s">
        <v>113</v>
      </c>
      <c r="B29" s="156" t="s">
        <v>114</v>
      </c>
    </row>
    <row r="30" spans="1:48">
      <c r="A30" s="44" t="s">
        <v>115</v>
      </c>
      <c r="B30" s="157">
        <v>330000</v>
      </c>
    </row>
    <row r="31" spans="1:48">
      <c r="A31" s="5" t="s">
        <v>116</v>
      </c>
      <c r="B31" s="158">
        <v>210000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 t="s">
        <v>63</v>
      </c>
      <c r="B35" s="159">
        <v>500000</v>
      </c>
      <c r="C35" s="145" t="s">
        <v>122</v>
      </c>
      <c r="D35" s="49">
        <f>IFERROR(VLOOKUP(C35,Parameters!$C$79:$D$90,2,0),"")</f>
        <v>6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93</v>
      </c>
    </row>
    <row r="41" spans="1:48">
      <c r="A41" s="55" t="s">
        <v>125</v>
      </c>
      <c r="B41" s="140">
        <v>60000</v>
      </c>
    </row>
    <row r="42" spans="1:48">
      <c r="A42" s="55" t="s">
        <v>126</v>
      </c>
      <c r="B42" s="139" t="s">
        <v>94</v>
      </c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93</v>
      </c>
    </row>
    <row r="45" spans="1:48">
      <c r="A45" s="56" t="s">
        <v>130</v>
      </c>
      <c r="B45" s="161"/>
    </row>
    <row r="46" spans="1:48" customHeight="1" ht="30">
      <c r="A46" s="57" t="s">
        <v>131</v>
      </c>
      <c r="B46" s="161">
        <v>350000</v>
      </c>
    </row>
    <row r="47" spans="1:48" customHeight="1" ht="30">
      <c r="A47" s="57" t="s">
        <v>132</v>
      </c>
      <c r="B47" s="161">
        <v>180000</v>
      </c>
    </row>
    <row r="48" spans="1:48" customHeight="1" ht="30">
      <c r="A48" s="57" t="s">
        <v>133</v>
      </c>
      <c r="B48" s="161">
        <v>600000</v>
      </c>
    </row>
    <row r="49" spans="1:48" customHeight="1" ht="30">
      <c r="A49" s="57" t="s">
        <v>134</v>
      </c>
      <c r="B49" s="161">
        <v>30000</v>
      </c>
    </row>
    <row r="50" spans="1:48">
      <c r="A50" s="43"/>
      <c r="B50" s="36"/>
    </row>
    <row r="51" spans="1:48">
      <c r="A51" s="58" t="s">
        <v>135</v>
      </c>
      <c r="B51" s="161">
        <v>2000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1600</v>
      </c>
      <c r="B56" s="159">
        <v>0</v>
      </c>
      <c r="C56" s="162" t="s">
        <v>143</v>
      </c>
      <c r="D56" s="163" t="s">
        <v>144</v>
      </c>
      <c r="E56" s="163" t="s">
        <v>93</v>
      </c>
      <c r="F56" s="163" t="s">
        <v>145</v>
      </c>
    </row>
    <row r="57" spans="1:48">
      <c r="A57" s="157">
        <v>1600</v>
      </c>
      <c r="B57" s="157">
        <v>0</v>
      </c>
      <c r="C57" s="164" t="s">
        <v>146</v>
      </c>
      <c r="D57" s="165" t="s">
        <v>147</v>
      </c>
      <c r="E57" s="165" t="s">
        <v>92</v>
      </c>
      <c r="F57" s="165" t="s">
        <v>148</v>
      </c>
    </row>
    <row r="58" spans="1:48">
      <c r="A58" s="157">
        <v>1600</v>
      </c>
      <c r="B58" s="157">
        <v>0</v>
      </c>
      <c r="C58" s="164" t="s">
        <v>149</v>
      </c>
      <c r="D58" s="165" t="s">
        <v>147</v>
      </c>
      <c r="E58" s="165" t="s">
        <v>92</v>
      </c>
      <c r="F58" s="165" t="s">
        <v>150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152</v>
      </c>
      <c r="C65" s="10" t="s">
        <v>153</v>
      </c>
    </row>
    <row r="66" spans="1:48">
      <c r="A66" s="142" t="s">
        <v>154</v>
      </c>
      <c r="B66" s="159">
        <v>5800</v>
      </c>
      <c r="C66" s="163">
        <v>6688</v>
      </c>
      <c r="D66" s="49">
        <f>INDEX(Parameters!$D$79:$D$90,MATCH(Inputs!A66,Parameters!$C$79:$C$90,0))</f>
        <v>11</v>
      </c>
    </row>
    <row r="67" spans="1:48">
      <c r="A67" s="143" t="s">
        <v>155</v>
      </c>
      <c r="B67" s="157">
        <v>30390</v>
      </c>
      <c r="C67" s="165">
        <v>29474</v>
      </c>
      <c r="D67" s="49">
        <f>INDEX(Parameters!$D$79:$D$90,MATCH(Inputs!A67,Parameters!$C$79:$C$90,0))</f>
        <v>10</v>
      </c>
    </row>
    <row r="68" spans="1:48">
      <c r="A68" s="143" t="s">
        <v>156</v>
      </c>
      <c r="B68" s="157">
        <v>109095</v>
      </c>
      <c r="C68" s="165">
        <v>109190</v>
      </c>
      <c r="D68" s="49">
        <f>INDEX(Parameters!$D$79:$D$90,MATCH(Inputs!A68,Parameters!$C$79:$C$90,0))</f>
        <v>9</v>
      </c>
    </row>
    <row r="69" spans="1:48">
      <c r="A69" s="143" t="s">
        <v>157</v>
      </c>
      <c r="B69" s="157">
        <v>160605</v>
      </c>
      <c r="C69" s="165">
        <v>160514</v>
      </c>
      <c r="D69" s="49">
        <f>INDEX(Parameters!$D$79:$D$90,MATCH(Inputs!A69,Parameters!$C$79:$C$90,0))</f>
        <v>8</v>
      </c>
    </row>
    <row r="70" spans="1:48">
      <c r="A70" s="143" t="s">
        <v>158</v>
      </c>
      <c r="B70" s="157">
        <v>179630</v>
      </c>
      <c r="C70" s="165">
        <v>179711</v>
      </c>
      <c r="D70" s="49">
        <f>INDEX(Parameters!$D$79:$D$90,MATCH(Inputs!A70,Parameters!$C$79:$C$90,0))</f>
        <v>7</v>
      </c>
    </row>
    <row r="71" spans="1:48">
      <c r="A71" s="144" t="s">
        <v>122</v>
      </c>
      <c r="B71" s="158">
        <v>73305</v>
      </c>
      <c r="C71" s="167">
        <v>73005</v>
      </c>
      <c r="D71" s="49">
        <f>INDEX(Parameters!$D$79:$D$90,MATCH(Inputs!A71,Parameters!$C$79:$C$90,0))</f>
        <v>6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24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100000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12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43132</v>
      </c>
      <c r="D4" s="38">
        <f>IFERROR(DATE(YEAR(B4),MONTH(B4)+T4,DAY(B4)),"")</f>
        <v>43132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0.8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0.8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303.0000000000001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43132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0.8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0.8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1600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1600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1600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43136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43132</v>
      </c>
      <c r="F33" t="s">
        <v>164</v>
      </c>
      <c r="G33" s="128">
        <f>IF(Inputs!B79="","",DATE(YEAR(Inputs!B79),MONTH(Inputs!B79),DAY(Inputs!B79)))</f>
        <v>43097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43164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43160</v>
      </c>
      <c r="F34" t="s">
        <v>165</v>
      </c>
      <c r="G34" s="128">
        <f>IF(Inputs!B80="","",DATE(YEAR(Inputs!B80),MONTH(Inputs!B80),DAY(Inputs!B80)))</f>
        <v>43136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43195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43191</v>
      </c>
      <c r="F35" t="s">
        <v>167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43225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43221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43256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43252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43286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43282</v>
      </c>
      <c r="F38" t="s">
        <v>230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43317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43313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43348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43344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43378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43374</v>
      </c>
      <c r="F41" t="s">
        <v>231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43409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43405</v>
      </c>
      <c r="F42" t="s">
        <v>232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43439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43470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205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296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300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300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300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307</v>
      </c>
      <c r="B29" s="118" t="s">
        <v>300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308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310</v>
      </c>
      <c r="B34" s="11" t="s">
        <v>311</v>
      </c>
    </row>
    <row r="35" spans="1:36">
      <c r="A35" t="s">
        <v>312</v>
      </c>
      <c r="B35" s="72">
        <v>60</v>
      </c>
      <c r="C35" s="86"/>
    </row>
    <row r="36" spans="1:36">
      <c r="A36" t="s">
        <v>313</v>
      </c>
      <c r="B36" s="72">
        <v>2000</v>
      </c>
      <c r="C36" s="86"/>
    </row>
    <row r="37" spans="1:36">
      <c r="A37" t="s">
        <v>314</v>
      </c>
      <c r="B37" s="2">
        <v>0.4</v>
      </c>
    </row>
    <row r="39" spans="1:36">
      <c r="A39" s="3" t="s">
        <v>315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316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296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307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318</v>
      </c>
      <c r="H52" s="12" t="s">
        <v>128</v>
      </c>
      <c r="I52" s="12" t="s">
        <v>319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233</v>
      </c>
      <c r="E53" s="10" t="s">
        <v>192</v>
      </c>
      <c r="F53" s="10" t="s">
        <v>252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170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229</v>
      </c>
      <c r="J76" s="11" t="s">
        <v>352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93</v>
      </c>
      <c r="F77" s="12" t="s">
        <v>93</v>
      </c>
      <c r="G77" s="12" t="s">
        <v>354</v>
      </c>
      <c r="H77" s="12" t="s">
        <v>128</v>
      </c>
      <c r="I77" s="12" t="s">
        <v>355</v>
      </c>
      <c r="J77" s="136" t="s">
        <v>356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357</v>
      </c>
      <c r="D78" s="133"/>
      <c r="E78" s="12" t="s">
        <v>358</v>
      </c>
      <c r="F78" s="12" t="s">
        <v>359</v>
      </c>
      <c r="G78" s="12" t="s">
        <v>360</v>
      </c>
      <c r="H78" s="12" t="s">
        <v>319</v>
      </c>
      <c r="I78" s="12" t="s">
        <v>361</v>
      </c>
      <c r="J78" s="70" t="s">
        <v>362</v>
      </c>
      <c r="K78" s="12" t="s">
        <v>93</v>
      </c>
      <c r="AJ78" s="12"/>
    </row>
    <row r="79" spans="1:36">
      <c r="B79" s="176">
        <v>10</v>
      </c>
      <c r="C79" s="12" t="s">
        <v>363</v>
      </c>
      <c r="D79" s="12">
        <v>1</v>
      </c>
      <c r="E79" s="12" t="s">
        <v>364</v>
      </c>
      <c r="F79" s="12" t="s">
        <v>365</v>
      </c>
      <c r="G79" s="12" t="s">
        <v>366</v>
      </c>
      <c r="I79" s="12" t="s">
        <v>170</v>
      </c>
      <c r="J79" s="70" t="s">
        <v>90</v>
      </c>
      <c r="K79" s="12" t="s">
        <v>93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367</v>
      </c>
      <c r="J80" s="70" t="s">
        <v>368</v>
      </c>
      <c r="K80" s="12" t="s">
        <v>92</v>
      </c>
      <c r="AJ80" s="12"/>
    </row>
    <row r="81" spans="1:36">
      <c r="B81" s="176">
        <v>30</v>
      </c>
      <c r="C81" s="12" t="s">
        <v>369</v>
      </c>
      <c r="D81" s="12">
        <f>D80+1</f>
        <v>3</v>
      </c>
      <c r="J81" s="70" t="s">
        <v>96</v>
      </c>
      <c r="K81" s="12" t="s">
        <v>92</v>
      </c>
    </row>
    <row r="82" spans="1:36">
      <c r="B82" s="176">
        <v>40</v>
      </c>
      <c r="C82" s="12" t="s">
        <v>370</v>
      </c>
      <c r="D82" s="12">
        <f>D81+1</f>
        <v>4</v>
      </c>
      <c r="J82" s="70"/>
    </row>
    <row r="83" spans="1:36">
      <c r="B83" s="176">
        <v>50</v>
      </c>
      <c r="C83" s="12" t="s">
        <v>371</v>
      </c>
      <c r="D83" s="12">
        <f>D82+1</f>
        <v>5</v>
      </c>
    </row>
    <row r="84" spans="1:36">
      <c r="B84" s="176">
        <v>60</v>
      </c>
      <c r="C84" s="12" t="s">
        <v>122</v>
      </c>
      <c r="D84" s="12">
        <f>D83+1</f>
        <v>6</v>
      </c>
    </row>
    <row r="85" spans="1:36">
      <c r="B85" s="176">
        <v>70</v>
      </c>
      <c r="C85" s="12" t="s">
        <v>158</v>
      </c>
      <c r="D85" s="12">
        <f>D84+1</f>
        <v>7</v>
      </c>
    </row>
    <row r="86" spans="1:36">
      <c r="B86" s="176">
        <v>80</v>
      </c>
      <c r="C86" s="12" t="s">
        <v>157</v>
      </c>
      <c r="D86" s="12">
        <f>D85+1</f>
        <v>8</v>
      </c>
    </row>
    <row r="87" spans="1:36">
      <c r="B87" s="176">
        <v>89.99999999999999</v>
      </c>
      <c r="C87" s="12" t="s">
        <v>156</v>
      </c>
      <c r="D87" s="12">
        <f>D86+1</f>
        <v>9</v>
      </c>
    </row>
    <row r="88" spans="1:36">
      <c r="B88" s="176">
        <v>99.99999999999999</v>
      </c>
      <c r="C88" s="12" t="s">
        <v>155</v>
      </c>
      <c r="D88" s="12">
        <f>D87+1</f>
        <v>10</v>
      </c>
    </row>
    <row r="89" spans="1:36">
      <c r="C89" s="12" t="s">
        <v>154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