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<sst xmlns="http://schemas.openxmlformats.org/spreadsheetml/2006/main" uniqueCount="373">
  <si>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</si>
  <si>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</si>
  <si>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</si>
  <si>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</si>
  <si>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</si>
  <si>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</si>
  <si>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</si>
  <si>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</si>
  <si>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</si>
  <si>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</si>
  <si>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</si>
  <si>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</si>
  <si>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</si>
  <si>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</si>
  <si>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</si>
  <si>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</si>
  <si>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</si>
  <si>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</si>
  <si>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</si>
  <si>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</si>
  <si>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</si>
  <si>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</si>
  <si>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</si>
  <si>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</si>
  <si>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</si>
  <si>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</si>
  <si>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</si>
  <si>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</si>
  <si>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</si>
  <si>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</si>
  <si>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</si>
  <si>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</si>
  <si>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</si>
  <si>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</si>
  <si>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</si>
  <si>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</si>
  <si>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</si>
  <si>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</si>
  <si>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</si>
  <si>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</si>
  <si>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</si>
  <si>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</si>
  <si>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</si>
  <si>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</si>
  <si>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</si>
  <si>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</si>
  <si>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</si>
  <si>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</si>
  <si>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</si>
  <si>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</si>
  <si>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</si>
  <si>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</si>
  <si>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</si>
  <si>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</si>
  <si>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</si>
  <si>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</si>
  <si>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</si>
  <si>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</si>
  <si>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</si>
  <si>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</si>
  <si>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</si>
  <si>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</si>
  <si>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</si>
  <si>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</si>
  <si>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</si>
  <si>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</si>
  <si>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</si>
  <si>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</si>
  <si>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</si>
  <si>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</si>
  <si>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</si>
  <si>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</si>
  <si>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</si>
  <si>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</si>
  <si>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</si>
  <si>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</si>
  <si>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</si>
  <si>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</si>
  <si>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</si>
  <si>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</si>
  <si>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</si>
  <si>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</si>
  <si>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</si>
  <si>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</si>
  <si>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</si>
  <si>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</si>
  <si>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</si>
  <si>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</si>
  <si>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</si>
  <si>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</si>
  <si>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</si>
  <si>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</si>
  <si>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</si>
  <si>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</si>
  <si>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</si>
  <si>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</si>
  <si>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</si>
  <si>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</si>
  <si>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</si>
  <si>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</si>
  <si>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</si>
  <si>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</si>
  <si>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</si>
  <si>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</si>
  <si>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</si>
  <si>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</si>
  <si>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Butchery, hotel and beauty shop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</si>
  <si>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</si>
  <si>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</si>
  <si>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</si>
  <si>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</si>
  <si>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</si>
  <si>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</si>
  <si>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</si>
  <si>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January</t>
  </si>
  <si>
    <t>Assets and liabilities</t>
  </si>
  <si>
    <t>Is the land yours?</t>
  </si>
  <si>
    <t>No</t>
  </si>
  <si>
    <t>Land rent amount/ year</t>
  </si>
  <si>
    <t>Month when land rent is paid</t>
  </si>
  <si>
    <t>December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</si>
  <si>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</si>
  <si>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</si>
  <si>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</si>
  <si>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</si>
  <si>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</si>
  <si>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</si>
  <si>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</si>
  <si>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</si>
  <si>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</si>
  <si>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</si>
  <si>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</si>
  <si>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</si>
  <si>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</si>
  <si>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</si>
  <si>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</si>
  <si>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</si>
  <si>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3/17/2016</t>
  </si>
  <si>
    <t>Cooperative Bank</t>
  </si>
  <si>
    <t>Yes</t>
  </si>
  <si>
    <t>Fully settled</t>
  </si>
  <si>
    <t>12/29/2017</t>
  </si>
  <si>
    <t>Faulu Bank</t>
  </si>
  <si>
    <t>There was misunderstanding as the client bought a vehicle and it happened that he sold the car to a third party but the payment was in suspense for several days leading to the listing</t>
  </si>
  <si>
    <t>Equity Bank</t>
  </si>
  <si>
    <t xml:space="preserve"> inflation led to increase of loan amount which affected  his timely monthly repayments. 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</si>
  <si>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</si>
  <si>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</si>
  <si>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</si>
  <si>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</si>
  <si>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</si>
  <si>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</si>
  <si>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</si>
  <si>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</si>
  <si>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</si>
  <si>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</si>
  <si>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</si>
  <si>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2017/12/29</t>
  </si>
  <si>
    <t>Loan terms</t>
  </si>
  <si>
    <t>Expected disbursement date</t>
  </si>
  <si>
    <t>Expected first repayment date</t>
  </si>
  <si>
    <t>2018/2/5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</si>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</sst>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March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Butchery, hotel and beauty shop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0.08344893358765389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0.05353356890459364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17500</v>
      </c>
    </row>
    <row r="17" spans="1:7">
      <c r="B17" s="1" t="s">
        <v>11</v>
      </c>
      <c r="C17" s="36">
        <f>SUM(Output!B6:M6)</f>
        <v>1656800</v>
      </c>
    </row>
    <row r="18" spans="1:7">
      <c r="B18" s="1" t="s">
        <v>12</v>
      </c>
      <c r="C18" s="36">
        <f>MIN(Output!B6:M6)</f>
        <v>-771600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228400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299826.6666666667</v>
      </c>
    </row>
    <row r="25" spans="1:7">
      <c r="B25" s="1" t="s">
        <v>18</v>
      </c>
      <c r="C25" s="36">
        <f>MAX(Inputs!A56:A60)</f>
        <v>365480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1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144400</v>
      </c>
      <c r="C6" s="51">
        <f>C30-C88</f>
        <v>-771600</v>
      </c>
      <c r="D6" s="51">
        <f>D30-D88</f>
        <v>228400</v>
      </c>
      <c r="E6" s="51">
        <f>E30-E88</f>
        <v>228400</v>
      </c>
      <c r="F6" s="51">
        <f>F30-F88</f>
        <v>228400</v>
      </c>
      <c r="G6" s="51">
        <f>G30-G88</f>
        <v>228400</v>
      </c>
      <c r="H6" s="51">
        <f>H30-H88</f>
        <v>228400</v>
      </c>
      <c r="I6" s="51">
        <f>I30-I88</f>
        <v>228400</v>
      </c>
      <c r="J6" s="51">
        <f>J30-J88</f>
        <v>228400</v>
      </c>
      <c r="K6" s="51">
        <f>K30-K88</f>
        <v>228400</v>
      </c>
      <c r="L6" s="51">
        <f>L30-L88</f>
        <v>228400</v>
      </c>
      <c r="M6" s="51">
        <f>M30-M88</f>
        <v>228400</v>
      </c>
      <c r="N6" s="51">
        <f>N30-N88</f>
        <v>144400</v>
      </c>
      <c r="O6" s="51">
        <f>O30-O88</f>
        <v>228400</v>
      </c>
      <c r="P6" s="51">
        <f>P30-P88</f>
        <v>228400</v>
      </c>
      <c r="Q6" s="51">
        <f>Q30-Q88</f>
        <v>228400</v>
      </c>
      <c r="R6" s="51">
        <f>R30-R88</f>
        <v>228400</v>
      </c>
      <c r="S6" s="51">
        <f>S30-S88</f>
        <v>228400</v>
      </c>
      <c r="T6" s="51">
        <f>T30-T88</f>
        <v>228400</v>
      </c>
      <c r="U6" s="51">
        <f>U30-U88</f>
        <v>228400</v>
      </c>
      <c r="V6" s="51">
        <f>V30-V88</f>
        <v>228400</v>
      </c>
      <c r="W6" s="51">
        <f>W30-W88</f>
        <v>228400</v>
      </c>
      <c r="X6" s="51">
        <f>X30-X88</f>
        <v>228400</v>
      </c>
      <c r="Y6" s="51">
        <f>Y30-Y88</f>
        <v>228400</v>
      </c>
      <c r="Z6" s="51">
        <f>SUMIF($B$13:$Y$13,"Yes",B6:Y6)</f>
        <v>4313600</v>
      </c>
      <c r="AA6" s="51">
        <f>AA30-AA88</f>
        <v>1656800</v>
      </c>
      <c r="AB6" s="51">
        <f>AB30-AB88</f>
        <v>4313600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-17496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5687</v>
      </c>
      <c r="J7" s="80">
        <f>IF(ISERROR(VLOOKUP(MONTH(J5),Inputs!$D$66:$D$71,1,0)),"",INDEX(Inputs!$B$66:$B$71,MATCH(MONTH(Output!J5),Inputs!$D$66:$D$71,0))-INDEX(Inputs!$C$66:$C$71,MATCH(MONTH(Output!J5),Inputs!$D$66:$D$71,0)))</f>
        <v>13772</v>
      </c>
      <c r="K7" s="80">
        <f>IF(ISERROR(VLOOKUP(MONTH(K5),Inputs!$D$66:$D$71,1,0)),"",INDEX(Inputs!$B$66:$B$71,MATCH(MONTH(Output!K5),Inputs!$D$66:$D$71,0))-INDEX(Inputs!$C$66:$C$71,MATCH(MONTH(Output!K5),Inputs!$D$66:$D$71,0)))</f>
        <v>-66555</v>
      </c>
      <c r="L7" s="80">
        <f>IF(ISERROR(VLOOKUP(MONTH(L5),Inputs!$D$66:$D$71,1,0)),"",INDEX(Inputs!$B$66:$B$71,MATCH(MONTH(Output!L5),Inputs!$D$66:$D$71,0))-INDEX(Inputs!$C$66:$C$71,MATCH(MONTH(Output!L5),Inputs!$D$66:$D$71,0)))</f>
        <v>45822</v>
      </c>
      <c r="M7" s="80">
        <f>IF(ISERROR(VLOOKUP(MONTH(M5),Inputs!$D$66:$D$71,1,0)),"",INDEX(Inputs!$B$66:$B$71,MATCH(MONTH(Output!M5),Inputs!$D$66:$D$71,0))-INDEX(Inputs!$C$66:$C$71,MATCH(MONTH(Output!M5),Inputs!$D$66:$D$71,0)))</f>
        <v>-34068</v>
      </c>
      <c r="N7" s="80">
        <f>IF(ISERROR(VLOOKUP(MONTH(N5),Inputs!$D$66:$D$71,1,0)),"",INDEX(Inputs!$B$66:$B$71,MATCH(MONTH(Output!N5),Inputs!$D$66:$D$71,0))-INDEX(Inputs!$C$66:$C$71,MATCH(MONTH(Output!N5),Inputs!$D$66:$D$71,0)))</f>
        <v>-17496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5687</v>
      </c>
      <c r="V7" s="80">
        <f>IF(ISERROR(VLOOKUP(MONTH(V5),Inputs!$D$66:$D$71,1,0)),"",INDEX(Inputs!$B$66:$B$71,MATCH(MONTH(Output!V5),Inputs!$D$66:$D$71,0))-INDEX(Inputs!$C$66:$C$71,MATCH(MONTH(Output!V5),Inputs!$D$66:$D$71,0)))</f>
        <v>13772</v>
      </c>
      <c r="W7" s="80">
        <f>IF(ISERROR(VLOOKUP(MONTH(W5),Inputs!$D$66:$D$71,1,0)),"",INDEX(Inputs!$B$66:$B$71,MATCH(MONTH(Output!W5),Inputs!$D$66:$D$71,0))-INDEX(Inputs!$C$66:$C$71,MATCH(MONTH(Output!W5),Inputs!$D$66:$D$71,0)))</f>
        <v>-66555</v>
      </c>
      <c r="X7" s="80">
        <f>IF(ISERROR(VLOOKUP(MONTH(X5),Inputs!$D$66:$D$71,1,0)),"",INDEX(Inputs!$B$66:$B$71,MATCH(MONTH(Output!X5),Inputs!$D$66:$D$71,0))-INDEX(Inputs!$C$66:$C$71,MATCH(MONTH(Output!X5),Inputs!$D$66:$D$71,0)))</f>
        <v>45822</v>
      </c>
      <c r="Y7" s="80">
        <f>IF(ISERROR(VLOOKUP(MONTH(Y5),Inputs!$D$66:$D$71,1,0)),"",INDEX(Inputs!$B$66:$B$71,MATCH(MONTH(Output!Y5),Inputs!$D$66:$D$71,0))-INDEX(Inputs!$C$66:$C$71,MATCH(MONTH(Output!Y5),Inputs!$D$66:$D$71,0)))</f>
        <v>-34068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17500</v>
      </c>
      <c r="E10" s="37">
        <f>SUMPRODUCT((Calculations!$D$33:$D$84=Output!E5)+0,Calculations!$C$33:$C$84)</f>
        <v>17500</v>
      </c>
      <c r="F10" s="37">
        <f>SUMPRODUCT((Calculations!$D$33:$D$84=Output!F5)+0,Calculations!$C$33:$C$84)</f>
        <v>17500</v>
      </c>
      <c r="G10" s="37">
        <f>SUMPRODUCT((Calculations!$D$33:$D$84=Output!G5)+0,Calculations!$C$33:$C$84)</f>
        <v>17500</v>
      </c>
      <c r="H10" s="37">
        <f>SUMPRODUCT((Calculations!$D$33:$D$84=Output!H5)+0,Calculations!$C$33:$C$84)</f>
        <v>17500</v>
      </c>
      <c r="I10" s="37">
        <f>SUMPRODUCT((Calculations!$D$33:$D$84=Output!I5)+0,Calculations!$C$33:$C$84)</f>
        <v>17500</v>
      </c>
      <c r="J10" s="37">
        <f>SUMPRODUCT((Calculations!$D$33:$D$84=Output!J5)+0,Calculations!$C$33:$C$84)</f>
        <v>17500</v>
      </c>
      <c r="K10" s="37">
        <f>SUMPRODUCT((Calculations!$D$33:$D$84=Output!K5)+0,Calculations!$C$33:$C$84)</f>
        <v>17500</v>
      </c>
      <c r="L10" s="37">
        <f>SUMPRODUCT((Calculations!$D$33:$D$84=Output!L5)+0,Calculations!$C$33:$C$84)</f>
        <v>17500</v>
      </c>
      <c r="M10" s="37">
        <f>SUMPRODUCT((Calculations!$D$33:$D$84=Output!M5)+0,Calculations!$C$33:$C$84)</f>
        <v>17500</v>
      </c>
      <c r="N10" s="37">
        <f>SUMPRODUCT((Calculations!$D$33:$D$84=Output!N5)+0,Calculations!$C$33:$C$84)</f>
        <v>17500</v>
      </c>
      <c r="O10" s="37">
        <f>SUMPRODUCT((Calculations!$D$33:$D$84=Output!O5)+0,Calculations!$C$33:$C$84)</f>
        <v>17500</v>
      </c>
      <c r="P10" s="37">
        <f>SUMPRODUCT((Calculations!$D$33:$D$84=Output!P5)+0,Calculations!$C$33:$C$84)</f>
        <v>17500</v>
      </c>
      <c r="Q10" s="37">
        <f>SUMPRODUCT((Calculations!$D$33:$D$84=Output!Q5)+0,Calculations!$C$33:$C$84)</f>
        <v>17500</v>
      </c>
      <c r="R10" s="37">
        <f>SUMPRODUCT((Calculations!$D$33:$D$84=Output!R5)+0,Calculations!$C$33:$C$84)</f>
        <v>17500</v>
      </c>
      <c r="S10" s="37">
        <f>SUMPRODUCT((Calculations!$D$33:$D$84=Output!S5)+0,Calculations!$C$33:$C$84)</f>
        <v>17500</v>
      </c>
      <c r="T10" s="37">
        <f>SUMPRODUCT((Calculations!$D$33:$D$84=Output!T5)+0,Calculations!$C$33:$C$84)</f>
        <v>17500</v>
      </c>
      <c r="U10" s="37">
        <f>SUMPRODUCT((Calculations!$D$33:$D$84=Output!U5)+0,Calculations!$C$33:$C$84)</f>
        <v>17500</v>
      </c>
      <c r="V10" s="37">
        <f>SUMPRODUCT((Calculations!$D$33:$D$84=Output!V5)+0,Calculations!$C$33:$C$84)</f>
        <v>17500</v>
      </c>
      <c r="W10" s="37">
        <f>SUMPRODUCT((Calculations!$D$33:$D$84=Output!W5)+0,Calculations!$C$33:$C$84)</f>
        <v>17500</v>
      </c>
      <c r="X10" s="37">
        <f>SUMPRODUCT((Calculations!$D$33:$D$84=Output!X5)+0,Calculations!$C$33:$C$84)</f>
        <v>17500</v>
      </c>
      <c r="Y10" s="37">
        <f>SUMPRODUCT((Calculations!$D$33:$D$84=Output!Y5)+0,Calculations!$C$33:$C$84)</f>
        <v>17500</v>
      </c>
      <c r="Z10" s="37">
        <f>SUMIF($B$13:$Y$13,"Yes",B10:Y10)</f>
        <v>385000</v>
      </c>
      <c r="AA10" s="37">
        <f>SUM(B10:M10)</f>
        <v>175000</v>
      </c>
      <c r="AB10" s="37">
        <f>SUM(B10:Y10)</f>
        <v>385000</v>
      </c>
    </row>
    <row r="11" spans="1:30" customHeight="1" ht="15.75">
      <c r="A11" s="43" t="s">
        <v>31</v>
      </c>
      <c r="B11" s="80">
        <f>B6+B9-B10</f>
        <v>444400</v>
      </c>
      <c r="C11" s="80">
        <f>C6+C9-C10</f>
        <v>-771600</v>
      </c>
      <c r="D11" s="80">
        <f>D6+D9-D10</f>
        <v>210900</v>
      </c>
      <c r="E11" s="80">
        <f>E6+E9-E10</f>
        <v>210900</v>
      </c>
      <c r="F11" s="80">
        <f>F6+F9-F10</f>
        <v>210900</v>
      </c>
      <c r="G11" s="80">
        <f>G6+G9-G10</f>
        <v>210900</v>
      </c>
      <c r="H11" s="80">
        <f>H6+H9-H10</f>
        <v>210900</v>
      </c>
      <c r="I11" s="80">
        <f>I6+I9-I10</f>
        <v>210900</v>
      </c>
      <c r="J11" s="80">
        <f>J6+J9-J10</f>
        <v>210900</v>
      </c>
      <c r="K11" s="80">
        <f>K6+K9-K10</f>
        <v>210900</v>
      </c>
      <c r="L11" s="80">
        <f>L6+L9-L10</f>
        <v>210900</v>
      </c>
      <c r="M11" s="80">
        <f>M6+M9-M10</f>
        <v>210900</v>
      </c>
      <c r="N11" s="80">
        <f>N6+N9-N10</f>
        <v>126900</v>
      </c>
      <c r="O11" s="80">
        <f>O6+O9-O10</f>
        <v>210900</v>
      </c>
      <c r="P11" s="80">
        <f>P6+P9-P10</f>
        <v>210900</v>
      </c>
      <c r="Q11" s="80">
        <f>Q6+Q9-Q10</f>
        <v>210900</v>
      </c>
      <c r="R11" s="80">
        <f>R6+R9-R10</f>
        <v>210900</v>
      </c>
      <c r="S11" s="80">
        <f>S6+S9-S10</f>
        <v>210900</v>
      </c>
      <c r="T11" s="80">
        <f>T6+T9-T10</f>
        <v>210900</v>
      </c>
      <c r="U11" s="80">
        <f>U6+U9-U10</f>
        <v>210900</v>
      </c>
      <c r="V11" s="80">
        <f>V6+V9-V10</f>
        <v>210900</v>
      </c>
      <c r="W11" s="80">
        <f>W6+W9-W10</f>
        <v>210900</v>
      </c>
      <c r="X11" s="80">
        <f>X6+X9-X10</f>
        <v>210900</v>
      </c>
      <c r="Y11" s="80">
        <f>Y6+Y9-Y10</f>
        <v>210900</v>
      </c>
      <c r="Z11" s="85">
        <f>SUMIF($B$13:$Y$13,"Yes",B11:Y11)</f>
        <v>4228600</v>
      </c>
      <c r="AA11" s="80">
        <f>SUM(B11:M11)</f>
        <v>1781800</v>
      </c>
      <c r="AB11" s="46">
        <f>SUM(B11:Y11)</f>
        <v>4228600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-0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0.2700617283950617</v>
      </c>
      <c r="F12" s="82">
        <f>IF(F13="Yes",IF(SUM($B$10:F10)/(SUM($B$6:F6)+SUM($B$9:F9))&lt;0,999.99,SUM($B$10:F10)/(SUM($B$6:F6)+SUM($B$9:F9))),"")</f>
        <v>0.1466480446927374</v>
      </c>
      <c r="G12" s="82">
        <f>IF(G13="Yes",IF(SUM($B$10:G10)/(SUM($B$6:G6)+SUM($B$9:G9))&lt;0,999.99,SUM($B$10:G10)/(SUM($B$6:G6)+SUM($B$9:G9))),"")</f>
        <v>0.1193724420190996</v>
      </c>
      <c r="H12" s="82">
        <f>IF(H13="Yes",IF(SUM($B$10:H10)/(SUM($B$6:H6)+SUM($B$9:H9))&lt;0,999.99,SUM($B$10:H10)/(SUM($B$6:H6)+SUM($B$9:H9))),"")</f>
        <v>0.1073883161512027</v>
      </c>
      <c r="I12" s="82">
        <f>IF(I13="Yes",IF(SUM($B$10:I10)/(SUM($B$6:I6)+SUM($B$9:I9))&lt;0,999.99,SUM($B$10:I10)/(SUM($B$6:I6)+SUM($B$9:I9))),"")</f>
        <v>0.1006518404907975</v>
      </c>
      <c r="J12" s="82">
        <f>IF(J13="Yes",IF(SUM($B$10:J10)/(SUM($B$6:J6)+SUM($B$9:J9))&lt;0,999.99,SUM($B$10:J10)/(SUM($B$6:J6)+SUM($B$9:J9))),"")</f>
        <v>0.09633532557407989</v>
      </c>
      <c r="K12" s="82">
        <f>IF(K13="Yes",IF(SUM($B$10:K10)/(SUM($B$6:K6)+SUM($B$9:K9))&lt;0,999.99,SUM($B$10:K10)/(SUM($B$6:K6)+SUM($B$9:K9))),"")</f>
        <v>0.09333333333333334</v>
      </c>
      <c r="L12" s="82">
        <f>IF(L13="Yes",IF(SUM($B$10:L10)/(SUM($B$6:L6)+SUM($B$9:L9))&lt;0,999.99,SUM($B$10:L10)/(SUM($B$6:L6)+SUM($B$9:L9))),"")</f>
        <v>0.09112473964360102</v>
      </c>
      <c r="M12" s="82">
        <f>IF(M13="Yes",IF(SUM($B$10:M10)/(SUM($B$6:M6)+SUM($B$9:M9))&lt;0,999.99,SUM($B$10:M10)/(SUM($B$6:M6)+SUM($B$9:M9))),"")</f>
        <v>0.08943172526573999</v>
      </c>
      <c r="N12" s="82">
        <f>IF(N13="Yes",IF(SUM($B$10:N10)/(SUM($B$6:N6)+SUM($B$9:N9))&lt;0,999.99,SUM($B$10:N10)/(SUM($B$6:N6)+SUM($B$9:N9))),"")</f>
        <v>0.09161431562916429</v>
      </c>
      <c r="O12" s="82">
        <f>IF(O13="Yes",IF(SUM($B$10:O10)/(SUM($B$6:O6)+SUM($B$9:O9))&lt;0,999.99,SUM($B$10:O10)/(SUM($B$6:O6)+SUM($B$9:O9))),"")</f>
        <v>0.09014423076923077</v>
      </c>
      <c r="P12" s="82">
        <f>IF(P13="Yes",IF(SUM($B$10:P10)/(SUM($B$6:P6)+SUM($B$9:P9))&lt;0,999.99,SUM($B$10:P10)/(SUM($B$6:P6)+SUM($B$9:P9))),"")</f>
        <v>0.08893666927286943</v>
      </c>
      <c r="Q12" s="82">
        <f>IF(Q13="Yes",IF(SUM($B$10:Q10)/(SUM($B$6:Q6)+SUM($B$9:Q9))&lt;0,999.99,SUM($B$10:Q10)/(SUM($B$6:Q6)+SUM($B$9:Q9))),"")</f>
        <v>0.08792707436118288</v>
      </c>
      <c r="R12" s="82">
        <f>IF(R13="Yes",IF(SUM($B$10:R10)/(SUM($B$6:R6)+SUM($B$9:R9))&lt;0,999.99,SUM($B$10:R10)/(SUM($B$6:R6)+SUM($B$9:R9))),"")</f>
        <v>0.08707045243465569</v>
      </c>
      <c r="S12" s="82">
        <f>IF(S13="Yes",IF(SUM($B$10:S10)/(SUM($B$6:S6)+SUM($B$9:S9))&lt;0,999.99,SUM($B$10:S10)/(SUM($B$6:S6)+SUM($B$9:S9))),"")</f>
        <v>0.0863344844597928</v>
      </c>
      <c r="T12" s="82">
        <f>IF(T13="Yes",IF(SUM($B$10:T10)/(SUM($B$6:T6)+SUM($B$9:T9))&lt;0,999.99,SUM($B$10:T10)/(SUM($B$6:T6)+SUM($B$9:T9))),"")</f>
        <v>0.08569535660790413</v>
      </c>
      <c r="U12" s="82">
        <f>IF(U13="Yes",IF(SUM($B$10:U10)/(SUM($B$6:U6)+SUM($B$9:U9))&lt;0,999.99,SUM($B$10:U10)/(SUM($B$6:U6)+SUM($B$9:U9))),"")</f>
        <v>0.08513513513513514</v>
      </c>
      <c r="V12" s="82">
        <f>IF(V13="Yes",IF(SUM($B$10:V10)/(SUM($B$6:V6)+SUM($B$9:V9))&lt;0,999.99,SUM($B$10:V10)/(SUM($B$6:V6)+SUM($B$9:V9))),"")</f>
        <v>0.08464005702067</v>
      </c>
      <c r="W12" s="82">
        <f>IF(W13="Yes",IF(SUM($B$10:W10)/(SUM($B$6:W6)+SUM($B$9:W9))&lt;0,999.99,SUM($B$10:W10)/(SUM($B$6:W6)+SUM($B$9:W9))),"")</f>
        <v>0.08419938414164742</v>
      </c>
      <c r="X12" s="82">
        <f>IF(X13="Yes",IF(SUM($B$10:X10)/(SUM($B$6:X6)+SUM($B$9:X9))&lt;0,999.99,SUM($B$10:X10)/(SUM($B$6:X6)+SUM($B$9:X9))),"")</f>
        <v>0.08380461552494756</v>
      </c>
      <c r="Y12" s="82">
        <f>IF(Y13="Yes",IF(SUM($B$10:Y10)/(SUM($B$6:Y6)+SUM($B$9:Y9))&lt;0,999.99,SUM($B$10:Y10)/(SUM($B$6:Y6)+SUM($B$9:Y9))),"")</f>
        <v>0.08344893358765389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896000</v>
      </c>
      <c r="C29" s="37">
        <f>Inputs!$B$30</f>
        <v>896000</v>
      </c>
      <c r="D29" s="37">
        <f>Inputs!$B$30</f>
        <v>896000</v>
      </c>
      <c r="E29" s="37">
        <f>Inputs!$B$30</f>
        <v>896000</v>
      </c>
      <c r="F29" s="37">
        <f>Inputs!$B$30</f>
        <v>896000</v>
      </c>
      <c r="G29" s="37">
        <f>Inputs!$B$30</f>
        <v>896000</v>
      </c>
      <c r="H29" s="37">
        <f>Inputs!$B$30</f>
        <v>896000</v>
      </c>
      <c r="I29" s="37">
        <f>Inputs!$B$30</f>
        <v>896000</v>
      </c>
      <c r="J29" s="37">
        <f>Inputs!$B$30</f>
        <v>896000</v>
      </c>
      <c r="K29" s="37">
        <f>Inputs!$B$30</f>
        <v>896000</v>
      </c>
      <c r="L29" s="37">
        <f>Inputs!$B$30</f>
        <v>896000</v>
      </c>
      <c r="M29" s="37">
        <f>Inputs!$B$30</f>
        <v>896000</v>
      </c>
      <c r="N29" s="37">
        <f>Inputs!$B$30</f>
        <v>896000</v>
      </c>
      <c r="O29" s="37">
        <f>Inputs!$B$30</f>
        <v>896000</v>
      </c>
      <c r="P29" s="37">
        <f>Inputs!$B$30</f>
        <v>896000</v>
      </c>
      <c r="Q29" s="37">
        <f>Inputs!$B$30</f>
        <v>896000</v>
      </c>
      <c r="R29" s="37">
        <f>Inputs!$B$30</f>
        <v>896000</v>
      </c>
      <c r="S29" s="37">
        <f>Inputs!$B$30</f>
        <v>896000</v>
      </c>
      <c r="T29" s="37">
        <f>Inputs!$B$30</f>
        <v>896000</v>
      </c>
      <c r="U29" s="37">
        <f>Inputs!$B$30</f>
        <v>896000</v>
      </c>
      <c r="V29" s="37">
        <f>Inputs!$B$30</f>
        <v>896000</v>
      </c>
      <c r="W29" s="37">
        <f>Inputs!$B$30</f>
        <v>896000</v>
      </c>
      <c r="X29" s="37">
        <f>Inputs!$B$30</f>
        <v>896000</v>
      </c>
      <c r="Y29" s="37">
        <f>Inputs!$B$30</f>
        <v>896000</v>
      </c>
      <c r="Z29" s="37">
        <f>SUMIF($B$13:$Y$13,"Yes",B29:Y29)</f>
        <v>21504000</v>
      </c>
      <c r="AA29" s="37">
        <f>SUM(B29:M29)</f>
        <v>10752000</v>
      </c>
      <c r="AB29" s="37">
        <f>SUM(B29:Y29)</f>
        <v>21504000</v>
      </c>
    </row>
    <row r="30" spans="1:30" customHeight="1" ht="15.75">
      <c r="A30" s="1" t="s">
        <v>37</v>
      </c>
      <c r="B30" s="19">
        <f>SUM(B18:B29)</f>
        <v>896000</v>
      </c>
      <c r="C30" s="19">
        <f>SUM(C18:C29)</f>
        <v>896000</v>
      </c>
      <c r="D30" s="19">
        <f>SUM(D18:D29)</f>
        <v>896000</v>
      </c>
      <c r="E30" s="19">
        <f>SUM(E18:E29)</f>
        <v>896000</v>
      </c>
      <c r="F30" s="19">
        <f>SUM(F18:F29)</f>
        <v>896000</v>
      </c>
      <c r="G30" s="19">
        <f>SUM(G18:G29)</f>
        <v>896000</v>
      </c>
      <c r="H30" s="19">
        <f>SUM(H18:H29)</f>
        <v>896000</v>
      </c>
      <c r="I30" s="19">
        <f>SUM(I18:I29)</f>
        <v>896000</v>
      </c>
      <c r="J30" s="19">
        <f>SUM(J18:J29)</f>
        <v>896000</v>
      </c>
      <c r="K30" s="19">
        <f>SUM(K18:K29)</f>
        <v>896000</v>
      </c>
      <c r="L30" s="19">
        <f>SUM(L18:L29)</f>
        <v>896000</v>
      </c>
      <c r="M30" s="19">
        <f>SUM(M18:M29)</f>
        <v>896000</v>
      </c>
      <c r="N30" s="19">
        <f>SUM(N18:N29)</f>
        <v>896000</v>
      </c>
      <c r="O30" s="19">
        <f>SUM(O18:O29)</f>
        <v>896000</v>
      </c>
      <c r="P30" s="19">
        <f>SUM(P18:P29)</f>
        <v>896000</v>
      </c>
      <c r="Q30" s="19">
        <f>SUM(Q18:Q29)</f>
        <v>896000</v>
      </c>
      <c r="R30" s="19">
        <f>SUM(R18:R29)</f>
        <v>896000</v>
      </c>
      <c r="S30" s="19">
        <f>SUM(S18:S29)</f>
        <v>896000</v>
      </c>
      <c r="T30" s="19">
        <f>SUM(T18:T29)</f>
        <v>896000</v>
      </c>
      <c r="U30" s="19">
        <f>SUM(U18:U29)</f>
        <v>896000</v>
      </c>
      <c r="V30" s="19">
        <f>SUM(V18:V29)</f>
        <v>896000</v>
      </c>
      <c r="W30" s="19">
        <f>SUM(W18:W29)</f>
        <v>896000</v>
      </c>
      <c r="X30" s="19">
        <f>SUM(X18:X29)</f>
        <v>896000</v>
      </c>
      <c r="Y30" s="19">
        <f>SUM(Y18:Y29)</f>
        <v>896000</v>
      </c>
      <c r="Z30" s="19">
        <f>SUMIF($B$13:$Y$13,"Yes",B30:Y30)</f>
        <v>21504000</v>
      </c>
      <c r="AA30" s="19">
        <f>SUM(B30:M30)</f>
        <v>10752000</v>
      </c>
      <c r="AB30" s="19">
        <f>SUM(B30:Y30)</f>
        <v>21504000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84000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84000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168000</v>
      </c>
      <c r="AA72" s="46">
        <f>SUM(B72:M72)</f>
        <v>84000</v>
      </c>
      <c r="AB72" s="46">
        <f>SUM(B72:Y72)</f>
        <v>168000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520000</v>
      </c>
      <c r="C79" s="46">
        <f>Inputs!$B$31</f>
        <v>520000</v>
      </c>
      <c r="D79" s="46">
        <f>Inputs!$B$31</f>
        <v>520000</v>
      </c>
      <c r="E79" s="46">
        <f>Inputs!$B$31</f>
        <v>520000</v>
      </c>
      <c r="F79" s="46">
        <f>Inputs!$B$31</f>
        <v>520000</v>
      </c>
      <c r="G79" s="46">
        <f>Inputs!$B$31</f>
        <v>520000</v>
      </c>
      <c r="H79" s="46">
        <f>Inputs!$B$31</f>
        <v>520000</v>
      </c>
      <c r="I79" s="46">
        <f>Inputs!$B$31</f>
        <v>520000</v>
      </c>
      <c r="J79" s="46">
        <f>Inputs!$B$31</f>
        <v>520000</v>
      </c>
      <c r="K79" s="46">
        <f>Inputs!$B$31</f>
        <v>520000</v>
      </c>
      <c r="L79" s="46">
        <f>Inputs!$B$31</f>
        <v>520000</v>
      </c>
      <c r="M79" s="46">
        <f>Inputs!$B$31</f>
        <v>520000</v>
      </c>
      <c r="N79" s="46">
        <f>Inputs!$B$31</f>
        <v>520000</v>
      </c>
      <c r="O79" s="46">
        <f>Inputs!$B$31</f>
        <v>520000</v>
      </c>
      <c r="P79" s="46">
        <f>Inputs!$B$31</f>
        <v>520000</v>
      </c>
      <c r="Q79" s="46">
        <f>Inputs!$B$31</f>
        <v>520000</v>
      </c>
      <c r="R79" s="46">
        <f>Inputs!$B$31</f>
        <v>520000</v>
      </c>
      <c r="S79" s="46">
        <f>Inputs!$B$31</f>
        <v>520000</v>
      </c>
      <c r="T79" s="46">
        <f>Inputs!$B$31</f>
        <v>520000</v>
      </c>
      <c r="U79" s="46">
        <f>Inputs!$B$31</f>
        <v>520000</v>
      </c>
      <c r="V79" s="46">
        <f>Inputs!$B$31</f>
        <v>520000</v>
      </c>
      <c r="W79" s="46">
        <f>Inputs!$B$31</f>
        <v>520000</v>
      </c>
      <c r="X79" s="46">
        <f>Inputs!$B$31</f>
        <v>520000</v>
      </c>
      <c r="Y79" s="46">
        <f>Inputs!$B$31</f>
        <v>520000</v>
      </c>
      <c r="Z79" s="46">
        <f>SUMIF($B$13:$Y$13,"Yes",B79:Y79)</f>
        <v>12480000</v>
      </c>
      <c r="AA79" s="46">
        <f>SUM(B79:M79)</f>
        <v>6240000</v>
      </c>
      <c r="AB79" s="46">
        <f>SUM(B79:Y79)</f>
        <v>12480000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1000000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1000000</v>
      </c>
      <c r="AA80" s="46">
        <f>SUM(B80:M80)</f>
        <v>1000000</v>
      </c>
      <c r="AB80" s="46">
        <f>SUM(B80:Y80)</f>
        <v>1000000</v>
      </c>
    </row>
    <row r="81" spans="1:30">
      <c r="A81" s="43" t="s">
        <v>51</v>
      </c>
      <c r="B81" s="46">
        <f>(SUM($AA$18:$AA$29)-SUM($AA$36,$AA$42,$AA$48,$AA$54,$AA$60,$AA$66,$AA$72:$AA$79))*Parameters!$B$37/12</f>
        <v>147600</v>
      </c>
      <c r="C81" s="46">
        <f>(SUM($AA$18:$AA$29)-SUM($AA$36,$AA$42,$AA$48,$AA$54,$AA$60,$AA$66,$AA$72:$AA$79))*Parameters!$B$37/12</f>
        <v>147600</v>
      </c>
      <c r="D81" s="46">
        <f>(SUM($AA$18:$AA$29)-SUM($AA$36,$AA$42,$AA$48,$AA$54,$AA$60,$AA$66,$AA$72:$AA$79))*Parameters!$B$37/12</f>
        <v>147600</v>
      </c>
      <c r="E81" s="46">
        <f>(SUM($AA$18:$AA$29)-SUM($AA$36,$AA$42,$AA$48,$AA$54,$AA$60,$AA$66,$AA$72:$AA$79))*Parameters!$B$37/12</f>
        <v>147600</v>
      </c>
      <c r="F81" s="46">
        <f>(SUM($AA$18:$AA$29)-SUM($AA$36,$AA$42,$AA$48,$AA$54,$AA$60,$AA$66,$AA$72:$AA$79))*Parameters!$B$37/12</f>
        <v>147600</v>
      </c>
      <c r="G81" s="46">
        <f>(SUM($AA$18:$AA$29)-SUM($AA$36,$AA$42,$AA$48,$AA$54,$AA$60,$AA$66,$AA$72:$AA$79))*Parameters!$B$37/12</f>
        <v>147600</v>
      </c>
      <c r="H81" s="46">
        <f>(SUM($AA$18:$AA$29)-SUM($AA$36,$AA$42,$AA$48,$AA$54,$AA$60,$AA$66,$AA$72:$AA$79))*Parameters!$B$37/12</f>
        <v>147600</v>
      </c>
      <c r="I81" s="46">
        <f>(SUM($AA$18:$AA$29)-SUM($AA$36,$AA$42,$AA$48,$AA$54,$AA$60,$AA$66,$AA$72:$AA$79))*Parameters!$B$37/12</f>
        <v>147600</v>
      </c>
      <c r="J81" s="46">
        <f>(SUM($AA$18:$AA$29)-SUM($AA$36,$AA$42,$AA$48,$AA$54,$AA$60,$AA$66,$AA$72:$AA$79))*Parameters!$B$37/12</f>
        <v>147600</v>
      </c>
      <c r="K81" s="46">
        <f>(SUM($AA$18:$AA$29)-SUM($AA$36,$AA$42,$AA$48,$AA$54,$AA$60,$AA$66,$AA$72:$AA$79))*Parameters!$B$37/12</f>
        <v>147600</v>
      </c>
      <c r="L81" s="46">
        <f>(SUM($AA$18:$AA$29)-SUM($AA$36,$AA$42,$AA$48,$AA$54,$AA$60,$AA$66,$AA$72:$AA$79))*Parameters!$B$37/12</f>
        <v>147600</v>
      </c>
      <c r="M81" s="46">
        <f>(SUM($AA$18:$AA$29)-SUM($AA$36,$AA$42,$AA$48,$AA$54,$AA$60,$AA$66,$AA$72:$AA$79))*Parameters!$B$37/12</f>
        <v>147600</v>
      </c>
      <c r="N81" s="46">
        <f>(SUM($AA$18:$AA$29)-SUM($AA$36,$AA$42,$AA$48,$AA$54,$AA$60,$AA$66,$AA$72:$AA$79))*Parameters!$B$37/12</f>
        <v>147600</v>
      </c>
      <c r="O81" s="46">
        <f>(SUM($AA$18:$AA$29)-SUM($AA$36,$AA$42,$AA$48,$AA$54,$AA$60,$AA$66,$AA$72:$AA$79))*Parameters!$B$37/12</f>
        <v>147600</v>
      </c>
      <c r="P81" s="46">
        <f>(SUM($AA$18:$AA$29)-SUM($AA$36,$AA$42,$AA$48,$AA$54,$AA$60,$AA$66,$AA$72:$AA$79))*Parameters!$B$37/12</f>
        <v>147600</v>
      </c>
      <c r="Q81" s="46">
        <f>(SUM($AA$18:$AA$29)-SUM($AA$36,$AA$42,$AA$48,$AA$54,$AA$60,$AA$66,$AA$72:$AA$79))*Parameters!$B$37/12</f>
        <v>147600</v>
      </c>
      <c r="R81" s="46">
        <f>(SUM($AA$18:$AA$29)-SUM($AA$36,$AA$42,$AA$48,$AA$54,$AA$60,$AA$66,$AA$72:$AA$79))*Parameters!$B$37/12</f>
        <v>147600</v>
      </c>
      <c r="S81" s="46">
        <f>(SUM($AA$18:$AA$29)-SUM($AA$36,$AA$42,$AA$48,$AA$54,$AA$60,$AA$66,$AA$72:$AA$79))*Parameters!$B$37/12</f>
        <v>147600</v>
      </c>
      <c r="T81" s="46">
        <f>(SUM($AA$18:$AA$29)-SUM($AA$36,$AA$42,$AA$48,$AA$54,$AA$60,$AA$66,$AA$72:$AA$79))*Parameters!$B$37/12</f>
        <v>147600</v>
      </c>
      <c r="U81" s="46">
        <f>(SUM($AA$18:$AA$29)-SUM($AA$36,$AA$42,$AA$48,$AA$54,$AA$60,$AA$66,$AA$72:$AA$79))*Parameters!$B$37/12</f>
        <v>147600</v>
      </c>
      <c r="V81" s="46">
        <f>(SUM($AA$18:$AA$29)-SUM($AA$36,$AA$42,$AA$48,$AA$54,$AA$60,$AA$66,$AA$72:$AA$79))*Parameters!$B$37/12</f>
        <v>147600</v>
      </c>
      <c r="W81" s="46">
        <f>(SUM($AA$18:$AA$29)-SUM($AA$36,$AA$42,$AA$48,$AA$54,$AA$60,$AA$66,$AA$72:$AA$79))*Parameters!$B$37/12</f>
        <v>147600</v>
      </c>
      <c r="X81" s="46">
        <f>(SUM($AA$18:$AA$29)-SUM($AA$36,$AA$42,$AA$48,$AA$54,$AA$60,$AA$66,$AA$72:$AA$79))*Parameters!$B$37/12</f>
        <v>147600</v>
      </c>
      <c r="Y81" s="46">
        <f>(SUM($AA$18:$AA$29)-SUM($AA$36,$AA$42,$AA$48,$AA$54,$AA$60,$AA$66,$AA$72:$AA$79))*Parameters!$B$37/12</f>
        <v>147600</v>
      </c>
      <c r="Z81" s="46">
        <f>SUMIF($B$13:$Y$13,"Yes",B81:Y81)</f>
        <v>3542400</v>
      </c>
      <c r="AA81" s="46">
        <f>SUM(B81:M81)</f>
        <v>1771200</v>
      </c>
      <c r="AB81" s="46">
        <f>SUM(B81:Y81)</f>
        <v>3542400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751600</v>
      </c>
      <c r="C88" s="19">
        <f>SUM(C72:C82,C66,C60,C54,C48,C42,C36)</f>
        <v>1667600</v>
      </c>
      <c r="D88" s="19">
        <f>SUM(D72:D82,D66,D60,D54,D48,D42,D36)</f>
        <v>667600</v>
      </c>
      <c r="E88" s="19">
        <f>SUM(E72:E82,E66,E60,E54,E48,E42,E36)</f>
        <v>667600</v>
      </c>
      <c r="F88" s="19">
        <f>SUM(F72:F82,F66,F60,F54,F48,F42,F36)</f>
        <v>667600</v>
      </c>
      <c r="G88" s="19">
        <f>SUM(G72:G82,G66,G60,G54,G48,G42,G36)</f>
        <v>667600</v>
      </c>
      <c r="H88" s="19">
        <f>SUM(H72:H82,H66,H60,H54,H48,H42,H36)</f>
        <v>667600</v>
      </c>
      <c r="I88" s="19">
        <f>SUM(I72:I82,I66,I60,I54,I48,I42,I36)</f>
        <v>667600</v>
      </c>
      <c r="J88" s="19">
        <f>SUM(J72:J82,J66,J60,J54,J48,J42,J36)</f>
        <v>667600</v>
      </c>
      <c r="K88" s="19">
        <f>SUM(K72:K82,K66,K60,K54,K48,K42,K36)</f>
        <v>667600</v>
      </c>
      <c r="L88" s="19">
        <f>SUM(L72:L82,L66,L60,L54,L48,L42,L36)</f>
        <v>667600</v>
      </c>
      <c r="M88" s="19">
        <f>SUM(M72:M82,M66,M60,M54,M48,M42,M36)</f>
        <v>667600</v>
      </c>
      <c r="N88" s="19">
        <f>SUM(N72:N82,N66,N60,N54,N48,N42,N36)</f>
        <v>751600</v>
      </c>
      <c r="O88" s="19">
        <f>SUM(O72:O82,O66,O60,O54,O48,O42,O36)</f>
        <v>667600</v>
      </c>
      <c r="P88" s="19">
        <f>SUM(P72:P82,P66,P60,P54,P48,P42,P36)</f>
        <v>667600</v>
      </c>
      <c r="Q88" s="19">
        <f>SUM(Q72:Q82,Q66,Q60,Q54,Q48,Q42,Q36)</f>
        <v>667600</v>
      </c>
      <c r="R88" s="19">
        <f>SUM(R72:R82,R66,R60,R54,R48,R42,R36)</f>
        <v>667600</v>
      </c>
      <c r="S88" s="19">
        <f>SUM(S72:S82,S66,S60,S54,S48,S42,S36)</f>
        <v>667600</v>
      </c>
      <c r="T88" s="19">
        <f>SUM(T72:T82,T66,T60,T54,T48,T42,T36)</f>
        <v>667600</v>
      </c>
      <c r="U88" s="19">
        <f>SUM(U72:U82,U66,U60,U54,U48,U42,U36)</f>
        <v>667600</v>
      </c>
      <c r="V88" s="19">
        <f>SUM(V72:V82,V66,V60,V54,V48,V42,V36)</f>
        <v>667600</v>
      </c>
      <c r="W88" s="19">
        <f>SUM(W72:W82,W66,W60,W54,W48,W42,W36)</f>
        <v>667600</v>
      </c>
      <c r="X88" s="19">
        <f>SUM(X72:X82,X66,X60,X54,X48,X42,X36)</f>
        <v>667600</v>
      </c>
      <c r="Y88" s="19">
        <f>SUM(Y72:Y82,Y66,Y60,Y54,Y48,Y42,Y36)</f>
        <v>667600</v>
      </c>
      <c r="Z88" s="19">
        <f>SUMIF($B$13:$Y$13,"Yes",B88:Y88)</f>
        <v>17190400</v>
      </c>
      <c r="AA88" s="19">
        <f>SUM(B88:M88)</f>
        <v>9095200</v>
      </c>
      <c r="AB88" s="19">
        <f>SUM(B88:Y88)</f>
        <v>17190400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60000</v>
      </c>
    </row>
    <row r="95" spans="1:30">
      <c r="A95" t="s">
        <v>61</v>
      </c>
      <c r="B95" s="36">
        <f>Inputs!B47</f>
        <v>4000000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600000</v>
      </c>
    </row>
    <row r="100" spans="1:30" customHeight="1" ht="15.75">
      <c r="A100" s="18" t="s">
        <v>66</v>
      </c>
      <c r="B100" s="37">
        <f>Inputs!B48</f>
        <v>1000000</v>
      </c>
    </row>
    <row r="101" spans="1:30" customHeight="1" ht="15.75">
      <c r="A101" s="1" t="s">
        <v>67</v>
      </c>
      <c r="B101" s="19">
        <f>SUM(B94:B100)</f>
        <v>5660000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3000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303000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80</v>
      </c>
    </row>
    <row r="27" spans="1:48">
      <c r="A27" s="14" t="s">
        <v>104</v>
      </c>
    </row>
    <row r="29" spans="1:48">
      <c r="A29" s="45" t="s">
        <v>105</v>
      </c>
      <c r="B29" s="156" t="s">
        <v>106</v>
      </c>
    </row>
    <row r="30" spans="1:48">
      <c r="A30" s="44" t="s">
        <v>107</v>
      </c>
      <c r="B30" s="157">
        <v>896000</v>
      </c>
    </row>
    <row r="31" spans="1:48">
      <c r="A31" s="5" t="s">
        <v>108</v>
      </c>
      <c r="B31" s="158">
        <v>520000</v>
      </c>
    </row>
    <row r="33" spans="1:48">
      <c r="A33" s="14" t="s">
        <v>109</v>
      </c>
    </row>
    <row r="34" spans="1:48">
      <c r="A34" s="10" t="s">
        <v>110</v>
      </c>
      <c r="B34" s="10" t="s">
        <v>111</v>
      </c>
      <c r="C34" s="10" t="s">
        <v>112</v>
      </c>
      <c r="D34" s="48" t="s">
        <v>113</v>
      </c>
    </row>
    <row r="35" spans="1:48">
      <c r="A35" s="142" t="s">
        <v>63</v>
      </c>
      <c r="B35" s="159">
        <v>1000000</v>
      </c>
      <c r="C35" s="145" t="s">
        <v>114</v>
      </c>
      <c r="D35" s="49">
        <f>IFERROR(VLOOKUP(C35,Parameters!$C$79:$D$90,2,0),"")</f>
        <v>1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116</v>
      </c>
      <c r="B40" s="160" t="s">
        <v>117</v>
      </c>
    </row>
    <row r="41" spans="1:48">
      <c r="A41" s="55" t="s">
        <v>118</v>
      </c>
      <c r="B41" s="140">
        <v>84000</v>
      </c>
    </row>
    <row r="42" spans="1:48">
      <c r="A42" s="55" t="s">
        <v>119</v>
      </c>
      <c r="B42" s="139" t="s">
        <v>120</v>
      </c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117</v>
      </c>
    </row>
    <row r="45" spans="1:48">
      <c r="A45" s="56" t="s">
        <v>124</v>
      </c>
      <c r="B45" s="161"/>
    </row>
    <row r="46" spans="1:48" customHeight="1" ht="30">
      <c r="A46" s="57" t="s">
        <v>125</v>
      </c>
      <c r="B46" s="161">
        <v>600000</v>
      </c>
    </row>
    <row r="47" spans="1:48" customHeight="1" ht="30">
      <c r="A47" s="57" t="s">
        <v>126</v>
      </c>
      <c r="B47" s="161">
        <v>4000000</v>
      </c>
    </row>
    <row r="48" spans="1:48" customHeight="1" ht="30">
      <c r="A48" s="57" t="s">
        <v>127</v>
      </c>
      <c r="B48" s="161">
        <v>1000000</v>
      </c>
    </row>
    <row r="49" spans="1:48" customHeight="1" ht="30">
      <c r="A49" s="57" t="s">
        <v>128</v>
      </c>
      <c r="B49" s="161">
        <v>60000</v>
      </c>
    </row>
    <row r="50" spans="1:48">
      <c r="A50" s="43"/>
      <c r="B50" s="36"/>
    </row>
    <row r="51" spans="1:48">
      <c r="A51" s="58" t="s">
        <v>129</v>
      </c>
      <c r="B51" s="161">
        <v>3000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>
        <v>234000</v>
      </c>
      <c r="B56" s="159">
        <v>0</v>
      </c>
      <c r="C56" s="162" t="s">
        <v>137</v>
      </c>
      <c r="D56" s="163" t="s">
        <v>138</v>
      </c>
      <c r="E56" s="163" t="s">
        <v>139</v>
      </c>
      <c r="F56" s="163" t="s">
        <v>140</v>
      </c>
    </row>
    <row r="57" spans="1:48">
      <c r="A57" s="157">
        <v>365480</v>
      </c>
      <c r="B57" s="157">
        <v>0</v>
      </c>
      <c r="C57" s="164" t="s">
        <v>141</v>
      </c>
      <c r="D57" s="165" t="s">
        <v>142</v>
      </c>
      <c r="E57" s="165" t="s">
        <v>117</v>
      </c>
      <c r="F57" s="165" t="s">
        <v>143</v>
      </c>
    </row>
    <row r="58" spans="1:48">
      <c r="A58" s="157">
        <v>300000</v>
      </c>
      <c r="B58" s="157">
        <v>0</v>
      </c>
      <c r="C58" s="164" t="s">
        <v>141</v>
      </c>
      <c r="D58" s="165" t="s">
        <v>144</v>
      </c>
      <c r="E58" s="165" t="s">
        <v>117</v>
      </c>
      <c r="F58" s="165" t="s">
        <v>145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113</v>
      </c>
      <c r="B65" s="10" t="s">
        <v>147</v>
      </c>
      <c r="C65" s="10" t="s">
        <v>148</v>
      </c>
    </row>
    <row r="66" spans="1:48">
      <c r="A66" s="142" t="s">
        <v>120</v>
      </c>
      <c r="B66" s="159">
        <v>95536</v>
      </c>
      <c r="C66" s="163">
        <v>113032</v>
      </c>
      <c r="D66" s="49">
        <f>INDEX(Parameters!$D$79:$D$90,MATCH(Inputs!A66,Parameters!$C$79:$C$90,0))</f>
        <v>12</v>
      </c>
    </row>
    <row r="67" spans="1:48">
      <c r="A67" s="143" t="s">
        <v>149</v>
      </c>
      <c r="B67" s="157">
        <v>167763</v>
      </c>
      <c r="C67" s="165">
        <v>201831</v>
      </c>
      <c r="D67" s="49">
        <f>INDEX(Parameters!$D$79:$D$90,MATCH(Inputs!A67,Parameters!$C$79:$C$90,0))</f>
        <v>11</v>
      </c>
    </row>
    <row r="68" spans="1:48">
      <c r="A68" s="143" t="s">
        <v>150</v>
      </c>
      <c r="B68" s="157">
        <v>227518</v>
      </c>
      <c r="C68" s="165">
        <v>181696</v>
      </c>
      <c r="D68" s="49">
        <f>INDEX(Parameters!$D$79:$D$90,MATCH(Inputs!A68,Parameters!$C$79:$C$90,0))</f>
        <v>10</v>
      </c>
    </row>
    <row r="69" spans="1:48">
      <c r="A69" s="143" t="s">
        <v>151</v>
      </c>
      <c r="B69" s="157">
        <v>400143</v>
      </c>
      <c r="C69" s="165">
        <v>466698</v>
      </c>
      <c r="D69" s="49">
        <f>INDEX(Parameters!$D$79:$D$90,MATCH(Inputs!A69,Parameters!$C$79:$C$90,0))</f>
        <v>9</v>
      </c>
    </row>
    <row r="70" spans="1:48">
      <c r="A70" s="143" t="s">
        <v>152</v>
      </c>
      <c r="B70" s="157">
        <v>309072</v>
      </c>
      <c r="C70" s="165">
        <v>295300</v>
      </c>
      <c r="D70" s="49">
        <f>INDEX(Parameters!$D$79:$D$90,MATCH(Inputs!A70,Parameters!$C$79:$C$90,0))</f>
        <v>8</v>
      </c>
    </row>
    <row r="71" spans="1:48">
      <c r="A71" s="144" t="s">
        <v>153</v>
      </c>
      <c r="B71" s="158">
        <v>302020</v>
      </c>
      <c r="C71" s="167">
        <v>296333</v>
      </c>
      <c r="D71" s="49">
        <f>INDEX(Parameters!$D$79:$D$90,MATCH(Inputs!A71,Parameters!$C$79:$C$90,0))</f>
        <v>7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24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300000</v>
      </c>
    </row>
    <row r="82" spans="1:48">
      <c r="A82" t="s">
        <v>163</v>
      </c>
      <c r="B82" s="161">
        <v>20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24</v>
      </c>
    </row>
    <row r="86" spans="1:48">
      <c r="A86" t="s">
        <v>168</v>
      </c>
      <c r="B86" s="161"/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12</v>
      </c>
      <c r="AD4" s="60">
        <f>IF($A4=0,1/12,IFERROR(INDEX(Parameters!$X$2:$AI$17,MATCH(Calculations!$A4,Parameters!$A$2:$A$17,0),MONTH(Calculations!AD$3)),1/12))</f>
        <v>1</v>
      </c>
      <c r="AE4" s="60">
        <f>IF($A4=0,1/12,IFERROR(INDEX(Parameters!$X$2:$AI$17,MATCH(Calculations!$A4,Parameters!$A$2:$A$17,0),MONTH(Calculations!AE$3)),1/12))</f>
        <v>2</v>
      </c>
      <c r="AF4" s="60">
        <f>IF($A4=0,1/12,IFERROR(INDEX(Parameters!$X$2:$AI$17,MATCH(Calculations!$A4,Parameters!$A$2:$A$17,0),MONTH(Calculations!AF$3)),1/12))</f>
        <v>3</v>
      </c>
      <c r="AG4" s="60">
        <f>IF($A4=0,1/12,IFERROR(INDEX(Parameters!$X$2:$AI$17,MATCH(Calculations!$A4,Parameters!$A$2:$A$17,0),MONTH(Calculations!AG$3)),1/12))</f>
        <v>4</v>
      </c>
      <c r="AH4" s="60">
        <f>IF($A4=0,1/12,IFERROR(INDEX(Parameters!$X$2:$AI$17,MATCH(Calculations!$A4,Parameters!$A$2:$A$17,0),MONTH(Calculations!AH$3)),1/12))</f>
        <v>5</v>
      </c>
      <c r="AI4" s="60">
        <f>IF($A4=0,1/12,IFERROR(INDEX(Parameters!$X$2:$AI$17,MATCH(Calculations!$A4,Parameters!$A$2:$A$17,0),MONTH(Calculations!AI$3)),1/12))</f>
        <v>6</v>
      </c>
      <c r="AJ4" s="60">
        <f>IF($A4=0,1/12,IFERROR(INDEX(Parameters!$X$2:$AI$17,MATCH(Calculations!$A4,Parameters!$A$2:$A$17,0),MONTH(Calculations!AJ$3)),1/12))</f>
        <v>7</v>
      </c>
      <c r="AK4" s="60">
        <f>IF($A4=0,1/12,IFERROR(INDEX(Parameters!$X$2:$AI$17,MATCH(Calculations!$A4,Parameters!$A$2:$A$17,0),MONTH(Calculations!AK$3)),1/12))</f>
        <v>8</v>
      </c>
      <c r="AL4" s="60">
        <f>IF($A4=0,1/12,IFERROR(INDEX(Parameters!$X$2:$AI$17,MATCH(Calculations!$A4,Parameters!$A$2:$A$17,0),MONTH(Calculations!AL$3)),1/12))</f>
        <v>9</v>
      </c>
      <c r="AM4" s="60">
        <f>IF($A4=0,1/12,IFERROR(INDEX(Parameters!$X$2:$AI$17,MATCH(Calculations!$A4,Parameters!$A$2:$A$17,0),MONTH(Calculations!AM$3)),1/12))</f>
        <v>10</v>
      </c>
      <c r="AN4" s="60">
        <f>IF($A4=0,1/12,IFERROR(INDEX(Parameters!$X$2:$AI$17,MATCH(Calculations!$A4,Parameters!$A$2:$A$17,0),MONTH(Calculations!AN$3)),1/12))</f>
        <v>11</v>
      </c>
      <c r="AO4" s="60">
        <f>IF($A4=0,1/12,IFERROR(INDEX(Parameters!$X$2:$AI$17,MATCH(Calculations!$A4,Parameters!$A$2:$A$17,0),MONTH(Calculations!AO$3)),1/12))</f>
        <v>12</v>
      </c>
      <c r="AP4" s="60">
        <f>IF($A4=0,1/12,IFERROR(INDEX(Parameters!$X$2:$AI$17,MATCH(Calculations!$A4,Parameters!$A$2:$A$17,0),MONTH(Calculations!AP$3)),1/12))</f>
        <v>1</v>
      </c>
      <c r="AQ4" s="60">
        <f>IF($A4=0,1/12,IFERROR(INDEX(Parameters!$X$2:$AI$17,MATCH(Calculations!$A4,Parameters!$A$2:$A$17,0),MONTH(Calculations!AQ$3)),1/12))</f>
        <v>2</v>
      </c>
      <c r="AR4" s="60">
        <f>IF($A4=0,1/12,IFERROR(INDEX(Parameters!$X$2:$AI$17,MATCH(Calculations!$A4,Parameters!$A$2:$A$17,0),MONTH(Calculations!AR$3)),1/12))</f>
        <v>3</v>
      </c>
      <c r="AS4" s="60">
        <f>IF($A4=0,1/12,IFERROR(INDEX(Parameters!$X$2:$AI$17,MATCH(Calculations!$A4,Parameters!$A$2:$A$17,0),MONTH(Calculations!AS$3)),1/12))</f>
        <v>4</v>
      </c>
      <c r="AT4" s="60">
        <f>IF($A4=0,1/12,IFERROR(INDEX(Parameters!$X$2:$AI$17,MATCH(Calculations!$A4,Parameters!$A$2:$A$17,0),MONTH(Calculations!AT$3)),1/12))</f>
        <v>5</v>
      </c>
      <c r="AU4" s="60">
        <f>IF($A4=0,1/12,IFERROR(INDEX(Parameters!$X$2:$AI$17,MATCH(Calculations!$A4,Parameters!$A$2:$A$17,0),MONTH(Calculations!AU$3)),1/12))</f>
        <v>6</v>
      </c>
      <c r="AV4" s="60">
        <f>IF($A4=0,1/12,IFERROR(INDEX(Parameters!$X$2:$AI$17,MATCH(Calculations!$A4,Parameters!$A$2:$A$17,0),MONTH(Calculations!AV$3)),1/12))</f>
        <v>7</v>
      </c>
      <c r="AW4" s="60">
        <f>IF($A4=0,1/12,IFERROR(INDEX(Parameters!$X$2:$AI$17,MATCH(Calculations!$A4,Parameters!$A$2:$A$17,0),MONTH(Calculations!AW$3)),1/12))</f>
        <v>8</v>
      </c>
      <c r="AX4" s="60">
        <f>IF($A4=0,1/12,IFERROR(INDEX(Parameters!$X$2:$AI$17,MATCH(Calculations!$A4,Parameters!$A$2:$A$17,0),MONTH(Calculations!AX$3)),1/12))</f>
        <v>9</v>
      </c>
      <c r="AY4" s="60">
        <f>IF($A4=0,1/12,IFERROR(INDEX(Parameters!$X$2:$AI$17,MATCH(Calculations!$A4,Parameters!$A$2:$A$17,0),MONTH(Calculations!AY$3)),1/12))</f>
        <v>10</v>
      </c>
      <c r="AZ4" s="60">
        <f>IF($A4=0,1/12,IFERROR(INDEX(Parameters!$X$2:$AI$17,MATCH(Calculations!$A4,Parameters!$A$2:$A$17,0),MONTH(Calculations!AZ$3)),1/12))</f>
        <v>11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12</v>
      </c>
      <c r="AD5" s="22">
        <f>IF($A5=0,1/12,IFERROR(INDEX(Parameters!$X$2:$AI$17,MATCH(Calculations!$A5,Parameters!$A$2:$A$17,0),MONTH(Calculations!AD$3)),1/12))</f>
        <v>1</v>
      </c>
      <c r="AE5" s="22">
        <f>IF($A5=0,1/12,IFERROR(INDEX(Parameters!$X$2:$AI$17,MATCH(Calculations!$A5,Parameters!$A$2:$A$17,0),MONTH(Calculations!AE$3)),1/12))</f>
        <v>2</v>
      </c>
      <c r="AF5" s="22">
        <f>IF($A5=0,1/12,IFERROR(INDEX(Parameters!$X$2:$AI$17,MATCH(Calculations!$A5,Parameters!$A$2:$A$17,0),MONTH(Calculations!AF$3)),1/12))</f>
        <v>3</v>
      </c>
      <c r="AG5" s="22">
        <f>IF($A5=0,1/12,IFERROR(INDEX(Parameters!$X$2:$AI$17,MATCH(Calculations!$A5,Parameters!$A$2:$A$17,0),MONTH(Calculations!AG$3)),1/12))</f>
        <v>4</v>
      </c>
      <c r="AH5" s="22">
        <f>IF($A5=0,1/12,IFERROR(INDEX(Parameters!$X$2:$AI$17,MATCH(Calculations!$A5,Parameters!$A$2:$A$17,0),MONTH(Calculations!AH$3)),1/12))</f>
        <v>5</v>
      </c>
      <c r="AI5" s="22">
        <f>IF($A5=0,1/12,IFERROR(INDEX(Parameters!$X$2:$AI$17,MATCH(Calculations!$A5,Parameters!$A$2:$A$17,0),MONTH(Calculations!AI$3)),1/12))</f>
        <v>6</v>
      </c>
      <c r="AJ5" s="22">
        <f>IF($A5=0,1/12,IFERROR(INDEX(Parameters!$X$2:$AI$17,MATCH(Calculations!$A5,Parameters!$A$2:$A$17,0),MONTH(Calculations!AJ$3)),1/12))</f>
        <v>7</v>
      </c>
      <c r="AK5" s="22">
        <f>IF($A5=0,1/12,IFERROR(INDEX(Parameters!$X$2:$AI$17,MATCH(Calculations!$A5,Parameters!$A$2:$A$17,0),MONTH(Calculations!AK$3)),1/12))</f>
        <v>8</v>
      </c>
      <c r="AL5" s="22">
        <f>IF($A5=0,1/12,IFERROR(INDEX(Parameters!$X$2:$AI$17,MATCH(Calculations!$A5,Parameters!$A$2:$A$17,0),MONTH(Calculations!AL$3)),1/12))</f>
        <v>9</v>
      </c>
      <c r="AM5" s="22">
        <f>IF($A5=0,1/12,IFERROR(INDEX(Parameters!$X$2:$AI$17,MATCH(Calculations!$A5,Parameters!$A$2:$A$17,0),MONTH(Calculations!AM$3)),1/12))</f>
        <v>10</v>
      </c>
      <c r="AN5" s="22">
        <f>IF($A5=0,1/12,IFERROR(INDEX(Parameters!$X$2:$AI$17,MATCH(Calculations!$A5,Parameters!$A$2:$A$17,0),MONTH(Calculations!AN$3)),1/12))</f>
        <v>11</v>
      </c>
      <c r="AO5" s="22">
        <f>IF($A5=0,1/12,IFERROR(INDEX(Parameters!$X$2:$AI$17,MATCH(Calculations!$A5,Parameters!$A$2:$A$17,0),MONTH(Calculations!AO$3)),1/12))</f>
        <v>12</v>
      </c>
      <c r="AP5" s="22">
        <f>IF($A5=0,1/12,IFERROR(INDEX(Parameters!$X$2:$AI$17,MATCH(Calculations!$A5,Parameters!$A$2:$A$17,0),MONTH(Calculations!AP$3)),1/12))</f>
        <v>1</v>
      </c>
      <c r="AQ5" s="22">
        <f>IF($A5=0,1/12,IFERROR(INDEX(Parameters!$X$2:$AI$17,MATCH(Calculations!$A5,Parameters!$A$2:$A$17,0),MONTH(Calculations!AQ$3)),1/12))</f>
        <v>2</v>
      </c>
      <c r="AR5" s="22">
        <f>IF($A5=0,1/12,IFERROR(INDEX(Parameters!$X$2:$AI$17,MATCH(Calculations!$A5,Parameters!$A$2:$A$17,0),MONTH(Calculations!AR$3)),1/12))</f>
        <v>3</v>
      </c>
      <c r="AS5" s="22">
        <f>IF($A5=0,1/12,IFERROR(INDEX(Parameters!$X$2:$AI$17,MATCH(Calculations!$A5,Parameters!$A$2:$A$17,0),MONTH(Calculations!AS$3)),1/12))</f>
        <v>4</v>
      </c>
      <c r="AT5" s="22">
        <f>IF($A5=0,1/12,IFERROR(INDEX(Parameters!$X$2:$AI$17,MATCH(Calculations!$A5,Parameters!$A$2:$A$17,0),MONTH(Calculations!AT$3)),1/12))</f>
        <v>5</v>
      </c>
      <c r="AU5" s="22">
        <f>IF($A5=0,1/12,IFERROR(INDEX(Parameters!$X$2:$AI$17,MATCH(Calculations!$A5,Parameters!$A$2:$A$17,0),MONTH(Calculations!AU$3)),1/12))</f>
        <v>6</v>
      </c>
      <c r="AV5" s="22">
        <f>IF($A5=0,1/12,IFERROR(INDEX(Parameters!$X$2:$AI$17,MATCH(Calculations!$A5,Parameters!$A$2:$A$17,0),MONTH(Calculations!AV$3)),1/12))</f>
        <v>7</v>
      </c>
      <c r="AW5" s="22">
        <f>IF($A5=0,1/12,IFERROR(INDEX(Parameters!$X$2:$AI$17,MATCH(Calculations!$A5,Parameters!$A$2:$A$17,0),MONTH(Calculations!AW$3)),1/12))</f>
        <v>8</v>
      </c>
      <c r="AX5" s="22">
        <f>IF($A5=0,1/12,IFERROR(INDEX(Parameters!$X$2:$AI$17,MATCH(Calculations!$A5,Parameters!$A$2:$A$17,0),MONTH(Calculations!AX$3)),1/12))</f>
        <v>9</v>
      </c>
      <c r="AY5" s="22">
        <f>IF($A5=0,1/12,IFERROR(INDEX(Parameters!$X$2:$AI$17,MATCH(Calculations!$A5,Parameters!$A$2:$A$17,0),MONTH(Calculations!AY$3)),1/12))</f>
        <v>10</v>
      </c>
      <c r="AZ5" s="22">
        <f>IF($A5=0,1/12,IFERROR(INDEX(Parameters!$X$2:$AI$17,MATCH(Calculations!$A5,Parameters!$A$2:$A$17,0),MONTH(Calculations!AZ$3)),1/12))</f>
        <v>11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131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52">
      <c r="A23" s="75">
        <f>Inputs!A56</f>
        <v>234000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365480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300000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43136</v>
      </c>
      <c r="C33" s="27">
        <f>IF(B33&lt;&gt;"",IF(COUNT($A$33:A33)&lt;=$G$39,0,$G$41)+IF(COUNT($A$33:A33)&lt;=$G$40,0,$G$42),0)</f>
        <v>17500</v>
      </c>
      <c r="D33" s="170">
        <f>IFERROR(DATE(YEAR(B33),MONTH(B33),1)," ")</f>
        <v>43132</v>
      </c>
      <c r="F33" t="s">
        <v>159</v>
      </c>
      <c r="G33" s="128">
        <f>IF(Inputs!B79="","",DATE(YEAR(Inputs!B79),MONTH(Inputs!B79),DAY(Inputs!B79)))</f>
        <v>43098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43164</v>
      </c>
      <c r="C34" s="27">
        <f>IF(B34&lt;&gt;"",IF(COUNT($A$33:A34)&lt;=$G$39,0,$G$41)+IF(COUNT($A$33:A34)&lt;=$G$40,0,$G$42),0)</f>
        <v>17500</v>
      </c>
      <c r="D34" s="170">
        <f>IFERROR(DATE(YEAR(B34),MONTH(B34),1)," ")</f>
        <v>43160</v>
      </c>
      <c r="F34" t="s">
        <v>160</v>
      </c>
      <c r="G34" s="128">
        <f>IF(Inputs!B80="","",DATE(YEAR(Inputs!B80),MONTH(Inputs!B80),DAY(Inputs!B80)))</f>
        <v>43136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43195</v>
      </c>
      <c r="C35" s="27">
        <f>IF(B35&lt;&gt;"",IF(COUNT($A$33:A35)&lt;=$G$39,0,$G$41)+IF(COUNT($A$33:A35)&lt;=$G$40,0,$G$42),0)</f>
        <v>17500</v>
      </c>
      <c r="D35" s="170">
        <f>IFERROR(DATE(YEAR(B35),MONTH(B35),1)," ")</f>
        <v>43191</v>
      </c>
      <c r="F35" t="s">
        <v>162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43225</v>
      </c>
      <c r="C36" s="27">
        <f>IF(B36&lt;&gt;"",IF(COUNT($A$33:A36)&lt;=$G$39,0,$G$41)+IF(COUNT($A$33:A36)&lt;=$G$40,0,$G$42),0)</f>
        <v>17500</v>
      </c>
      <c r="D36" s="170">
        <f>IFERROR(DATE(YEAR(B36),MONTH(B36),1)," ")</f>
        <v>43221</v>
      </c>
      <c r="F36" t="s">
        <v>163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43256</v>
      </c>
      <c r="C37" s="27">
        <f>IF(B37&lt;&gt;"",IF(COUNT($A$33:A37)&lt;=$G$39,0,$G$41)+IF(COUNT($A$33:A37)&lt;=$G$40,0,$G$42),0)</f>
        <v>17500</v>
      </c>
      <c r="D37" s="170">
        <f>IFERROR(DATE(YEAR(B37),MONTH(B37),1)," ")</f>
        <v>43252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43286</v>
      </c>
      <c r="C38" s="27">
        <f>IF(B38&lt;&gt;"",IF(COUNT($A$33:A38)&lt;=$G$39,0,$G$41)+IF(COUNT($A$33:A38)&lt;=$G$40,0,$G$42),0)</f>
        <v>17500</v>
      </c>
      <c r="D38" s="170">
        <f>IFERROR(DATE(YEAR(B38),MONTH(B38),1)," ")</f>
        <v>43282</v>
      </c>
      <c r="F38" t="s">
        <v>225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43317</v>
      </c>
      <c r="C39" s="27">
        <f>IF(B39&lt;&gt;"",IF(COUNT($A$33:A39)&lt;=$G$39,0,$G$41)+IF(COUNT($A$33:A39)&lt;=$G$40,0,$G$42),0)</f>
        <v>17500</v>
      </c>
      <c r="D39" s="170">
        <f>IFERROR(DATE(YEAR(B39),MONTH(B39),1)," ")</f>
        <v>43313</v>
      </c>
      <c r="F39" t="s">
        <v>168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43348</v>
      </c>
      <c r="C40" s="27">
        <f>IF(B40&lt;&gt;"",IF(COUNT($A$33:A40)&lt;=$G$39,0,$G$41)+IF(COUNT($A$33:A40)&lt;=$G$40,0,$G$42),0)</f>
        <v>17500</v>
      </c>
      <c r="D40" s="170">
        <f>IFERROR(DATE(YEAR(B40),MONTH(B40),1)," ")</f>
        <v>43344</v>
      </c>
      <c r="F40" t="s">
        <v>169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43378</v>
      </c>
      <c r="C41" s="27">
        <f>IF(B41&lt;&gt;"",IF(COUNT($A$33:A41)&lt;=$G$39,0,$G$41)+IF(COUNT($A$33:A41)&lt;=$G$40,0,$G$42),0)</f>
        <v>17500</v>
      </c>
      <c r="D41" s="170">
        <f>IFERROR(DATE(YEAR(B41),MONTH(B41),1)," ")</f>
        <v>43374</v>
      </c>
      <c r="F41" t="s">
        <v>226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43409</v>
      </c>
      <c r="C42" s="27">
        <f>IF(B42&lt;&gt;"",IF(COUNT($A$33:A42)&lt;=$G$39,0,$G$41)+IF(COUNT($A$33:A42)&lt;=$G$40,0,$G$42),0)</f>
        <v>17500</v>
      </c>
      <c r="D42" s="170">
        <f>IFERROR(DATE(YEAR(B42),MONTH(B42),1)," ")</f>
        <v>43405</v>
      </c>
      <c r="F42" t="s">
        <v>227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43439</v>
      </c>
      <c r="C43" s="27">
        <f>IF(B43&lt;&gt;"",IF(COUNT($A$33:A43)&lt;=$G$39,0,$G$41)+IF(COUNT($A$33:A43)&lt;=$G$40,0,$G$42),0)</f>
        <v>17500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43470</v>
      </c>
      <c r="C44" s="27">
        <f>IF(B44&lt;&gt;"",IF(COUNT($A$33:A44)&lt;=$G$39,0,$G$41)+IF(COUNT($A$33:A44)&lt;=$G$40,0,$G$42),0)</f>
        <v>17500</v>
      </c>
      <c r="D44" s="170">
        <f>IFERROR(DATE(YEAR(B44),MONTH(B44),1)," ")</f>
        <v>43466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43501</v>
      </c>
      <c r="C45" s="27">
        <f>IF(B45&lt;&gt;"",IF(COUNT($A$33:A45)&lt;=$G$39,0,$G$41)+IF(COUNT($A$33:A45)&lt;=$G$40,0,$G$42),0)</f>
        <v>17500</v>
      </c>
      <c r="D45" s="170">
        <f>IFERROR(DATE(YEAR(B45),MONTH(B45),1)," ")</f>
        <v>43497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43529</v>
      </c>
      <c r="C46" s="27">
        <f>IF(B46&lt;&gt;"",IF(COUNT($A$33:A46)&lt;=$G$39,0,$G$41)+IF(COUNT($A$33:A46)&lt;=$G$40,0,$G$42),0)</f>
        <v>17500</v>
      </c>
      <c r="D46" s="170">
        <f>IFERROR(DATE(YEAR(B46),MONTH(B46),1)," ")</f>
        <v>43525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43560</v>
      </c>
      <c r="C47" s="27">
        <f>IF(B47&lt;&gt;"",IF(COUNT($A$33:A47)&lt;=$G$39,0,$G$41)+IF(COUNT($A$33:A47)&lt;=$G$40,0,$G$42),0)</f>
        <v>17500</v>
      </c>
      <c r="D47" s="170">
        <f>IFERROR(DATE(YEAR(B47),MONTH(B47),1)," ")</f>
        <v>43556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43590</v>
      </c>
      <c r="C48" s="27">
        <f>IF(B48&lt;&gt;"",IF(COUNT($A$33:A48)&lt;=$G$39,0,$G$41)+IF(COUNT($A$33:A48)&lt;=$G$40,0,$G$42),0)</f>
        <v>17500</v>
      </c>
      <c r="D48" s="170">
        <f>IFERROR(DATE(YEAR(B48),MONTH(B48),1)," ")</f>
        <v>43586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43621</v>
      </c>
      <c r="C49" s="27">
        <f>IF(B49&lt;&gt;"",IF(COUNT($A$33:A49)&lt;=$G$39,0,$G$41)+IF(COUNT($A$33:A49)&lt;=$G$40,0,$G$42),0)</f>
        <v>17500</v>
      </c>
      <c r="D49" s="170">
        <f>IFERROR(DATE(YEAR(B49),MONTH(B49),1)," ")</f>
        <v>43617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43651</v>
      </c>
      <c r="C50" s="27">
        <f>IF(B50&lt;&gt;"",IF(COUNT($A$33:A50)&lt;=$G$39,0,$G$41)+IF(COUNT($A$33:A50)&lt;=$G$40,0,$G$42),0)</f>
        <v>17500</v>
      </c>
      <c r="D50" s="170">
        <f>IFERROR(DATE(YEAR(B50),MONTH(B50),1)," ")</f>
        <v>43647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43682</v>
      </c>
      <c r="C51" s="27">
        <f>IF(B51&lt;&gt;"",IF(COUNT($A$33:A51)&lt;=$G$39,0,$G$41)+IF(COUNT($A$33:A51)&lt;=$G$40,0,$G$42),0)</f>
        <v>17500</v>
      </c>
      <c r="D51" s="170">
        <f>IFERROR(DATE(YEAR(B51),MONTH(B51),1)," ")</f>
        <v>43678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43713</v>
      </c>
      <c r="C52" s="27">
        <f>IF(B52&lt;&gt;"",IF(COUNT($A$33:A52)&lt;=$G$39,0,$G$41)+IF(COUNT($A$33:A52)&lt;=$G$40,0,$G$42),0)</f>
        <v>17500</v>
      </c>
      <c r="D52" s="170">
        <f>IFERROR(DATE(YEAR(B52),MONTH(B52),1)," ")</f>
        <v>43709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43743</v>
      </c>
      <c r="C53" s="27">
        <f>IF(B53&lt;&gt;"",IF(COUNT($A$33:A53)&lt;=$G$39,0,$G$41)+IF(COUNT($A$33:A53)&lt;=$G$40,0,$G$42),0)</f>
        <v>17500</v>
      </c>
      <c r="D53" s="170">
        <f>IFERROR(DATE(YEAR(B53),MONTH(B53),1)," ")</f>
        <v>43739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43774</v>
      </c>
      <c r="C54" s="27">
        <f>IF(B54&lt;&gt;"",IF(COUNT($A$33:A54)&lt;=$G$39,0,$G$41)+IF(COUNT($A$33:A54)&lt;=$G$40,0,$G$42),0)</f>
        <v>17500</v>
      </c>
      <c r="D54" s="170">
        <f>IFERROR(DATE(YEAR(B54),MONTH(B54),1)," ")</f>
        <v>43770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43804</v>
      </c>
      <c r="C55" s="27">
        <f>IF(B55&lt;&gt;"",IF(COUNT($A$33:A55)&lt;=$G$39,0,$G$41)+IF(COUNT($A$33:A55)&lt;=$G$40,0,$G$42),0)</f>
        <v>17500</v>
      </c>
      <c r="D55" s="170">
        <f>IFERROR(DATE(YEAR(B55),MONTH(B55),1)," ")</f>
        <v>43800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43835</v>
      </c>
      <c r="C56" s="27">
        <f>IF(B56&lt;&gt;"",IF(COUNT($A$33:A56)&lt;=$G$39,0,$G$41)+IF(COUNT($A$33:A56)&lt;=$G$40,0,$G$42),0)</f>
        <v>17500</v>
      </c>
      <c r="D56" s="170">
        <f>IFERROR(DATE(YEAR(B56),MONTH(B56),1)," ")</f>
        <v>43831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260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200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296</v>
      </c>
      <c r="B24" s="21" t="s">
        <v>297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298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301</v>
      </c>
      <c r="B26" s="16" t="s">
        <v>297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297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297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297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90</v>
      </c>
      <c r="B41" s="191" t="s">
        <v>117</v>
      </c>
      <c r="C41" s="191" t="s">
        <v>139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296</v>
      </c>
      <c r="B43" s="72">
        <v>450</v>
      </c>
      <c r="C43" s="72">
        <v>250</v>
      </c>
    </row>
    <row r="44" spans="1:36">
      <c r="A44" t="s">
        <v>298</v>
      </c>
      <c r="B44" s="72">
        <v>50000</v>
      </c>
      <c r="C44" s="72">
        <v>200000</v>
      </c>
    </row>
    <row r="45" spans="1:36">
      <c r="A45" t="s">
        <v>301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270</v>
      </c>
      <c r="E52" s="12" t="s">
        <v>270</v>
      </c>
      <c r="F52" s="12" t="s">
        <v>270</v>
      </c>
      <c r="G52" s="12" t="s">
        <v>315</v>
      </c>
      <c r="H52" s="12" t="s">
        <v>122</v>
      </c>
      <c r="I52" s="12" t="s">
        <v>316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228</v>
      </c>
      <c r="E53" s="10" t="s">
        <v>187</v>
      </c>
      <c r="F53" s="10" t="s">
        <v>247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139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139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117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139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139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117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117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139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139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139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117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117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117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117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139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139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139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139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165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224</v>
      </c>
      <c r="J76" s="11" t="s">
        <v>349</v>
      </c>
      <c r="K76" s="11" t="s">
        <v>177</v>
      </c>
      <c r="AJ76" s="12"/>
    </row>
    <row r="77" spans="1:36">
      <c r="A77" t="s">
        <v>139</v>
      </c>
      <c r="B77" s="176">
        <v>0</v>
      </c>
      <c r="C77" s="12" t="s">
        <v>350</v>
      </c>
      <c r="E77" s="12" t="s">
        <v>117</v>
      </c>
      <c r="F77" s="12" t="s">
        <v>117</v>
      </c>
      <c r="G77" s="12" t="s">
        <v>351</v>
      </c>
      <c r="H77" s="12" t="s">
        <v>122</v>
      </c>
      <c r="I77" s="12" t="s">
        <v>352</v>
      </c>
      <c r="J77" s="136" t="s">
        <v>353</v>
      </c>
      <c r="K77" s="12" t="s">
        <v>117</v>
      </c>
      <c r="AJ77" s="12"/>
    </row>
    <row r="78" spans="1:36">
      <c r="A78" t="s">
        <v>117</v>
      </c>
      <c r="B78" s="176">
        <v>5</v>
      </c>
      <c r="C78" s="134" t="s">
        <v>354</v>
      </c>
      <c r="D78" s="133"/>
      <c r="E78" s="12" t="s">
        <v>355</v>
      </c>
      <c r="F78" s="12" t="s">
        <v>356</v>
      </c>
      <c r="G78" s="12" t="s">
        <v>357</v>
      </c>
      <c r="H78" s="12" t="s">
        <v>316</v>
      </c>
      <c r="I78" s="12" t="s">
        <v>358</v>
      </c>
      <c r="J78" s="70" t="s">
        <v>359</v>
      </c>
      <c r="K78" s="12" t="s">
        <v>117</v>
      </c>
      <c r="AJ78" s="12"/>
    </row>
    <row r="79" spans="1:36">
      <c r="B79" s="176">
        <v>10</v>
      </c>
      <c r="C79" s="12" t="s">
        <v>114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165</v>
      </c>
      <c r="J79" s="70" t="s">
        <v>363</v>
      </c>
      <c r="K79" s="12" t="s">
        <v>117</v>
      </c>
      <c r="AJ79" s="12"/>
    </row>
    <row r="80" spans="1:36">
      <c r="B80" s="176">
        <v>20</v>
      </c>
      <c r="C80" s="12" t="s">
        <v>364</v>
      </c>
      <c r="D80" s="12">
        <f>D79+1</f>
        <v>2</v>
      </c>
      <c r="E80" s="12" t="s">
        <v>365</v>
      </c>
      <c r="F80" s="12" t="s">
        <v>366</v>
      </c>
      <c r="J80" s="70" t="s">
        <v>367</v>
      </c>
      <c r="K80" s="12" t="s">
        <v>139</v>
      </c>
      <c r="AJ80" s="12"/>
    </row>
    <row r="81" spans="1:36">
      <c r="B81" s="176">
        <v>30</v>
      </c>
      <c r="C81" s="12" t="s">
        <v>368</v>
      </c>
      <c r="D81" s="12">
        <f>D80+1</f>
        <v>3</v>
      </c>
      <c r="J81" s="70" t="s">
        <v>369</v>
      </c>
      <c r="K81" s="12" t="s">
        <v>139</v>
      </c>
    </row>
    <row r="82" spans="1:36">
      <c r="B82" s="176">
        <v>40</v>
      </c>
      <c r="C82" s="12" t="s">
        <v>370</v>
      </c>
      <c r="D82" s="12">
        <f>D81+1</f>
        <v>4</v>
      </c>
      <c r="J82" s="70"/>
    </row>
    <row r="83" spans="1:36">
      <c r="B83" s="176">
        <v>50</v>
      </c>
      <c r="C83" s="12" t="s">
        <v>371</v>
      </c>
      <c r="D83" s="12">
        <f>D82+1</f>
        <v>5</v>
      </c>
    </row>
    <row r="84" spans="1:36">
      <c r="B84" s="176">
        <v>60</v>
      </c>
      <c r="C84" s="12" t="s">
        <v>372</v>
      </c>
      <c r="D84" s="12">
        <f>D83+1</f>
        <v>6</v>
      </c>
    </row>
    <row r="85" spans="1:36">
      <c r="B85" s="176">
        <v>70</v>
      </c>
      <c r="C85" s="12" t="s">
        <v>153</v>
      </c>
      <c r="D85" s="12">
        <f>D84+1</f>
        <v>7</v>
      </c>
    </row>
    <row r="86" spans="1:36">
      <c r="B86" s="176">
        <v>80</v>
      </c>
      <c r="C86" s="12" t="s">
        <v>152</v>
      </c>
      <c r="D86" s="12">
        <f>D85+1</f>
        <v>8</v>
      </c>
    </row>
    <row r="87" spans="1:36">
      <c r="B87" s="176">
        <v>89.99999999999999</v>
      </c>
      <c r="C87" s="12" t="s">
        <v>151</v>
      </c>
      <c r="D87" s="12">
        <f>D86+1</f>
        <v>9</v>
      </c>
    </row>
    <row r="88" spans="1:36">
      <c r="B88" s="176">
        <v>99.99999999999999</v>
      </c>
      <c r="C88" s="12" t="s">
        <v>150</v>
      </c>
      <c r="D88" s="12">
        <f>D87+1</f>
        <v>10</v>
      </c>
    </row>
    <row r="89" spans="1:36">
      <c r="C89" s="12" t="s">
        <v>149</v>
      </c>
      <c r="D89" s="12">
        <f>D88+1</f>
        <v>11</v>
      </c>
    </row>
    <row r="90" spans="1:36">
      <c r="C90" s="12" t="s">
        <v>120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