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<sst xmlns="http://schemas.openxmlformats.org/spreadsheetml/2006/main" uniqueCount="370">
  <si>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</si>
  <si>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</si>
  <si>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</si>
  <si>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</si>
  <si>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</si>
  <si>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</si>
  <si>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</si>
  <si>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</si>
  <si>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</si>
  <si>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</si>
  <si>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</si>
  <si>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</si>
  <si>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</si>
  <si>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</si>
  <si>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</si>
  <si>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</si>
  <si>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</si>
  <si>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</si>
  <si>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</si>
  <si>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</si>
  <si>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</si>
  <si>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</si>
  <si>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</si>
  <si>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</si>
  <si>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</si>
  <si>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</si>
  <si>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</si>
  <si>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</si>
  <si>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</si>
  <si>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</si>
  <si>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</si>
  <si>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</si>
  <si>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</si>
  <si>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</si>
  <si>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</si>
  <si>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</si>
  <si>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</si>
  <si>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</si>
  <si>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</si>
  <si>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</si>
  <si>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</si>
  <si>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</si>
  <si>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</si>
  <si>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</si>
  <si>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</si>
  <si>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</si>
  <si>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</si>
  <si>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</si>
  <si>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</si>
  <si>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</si>
  <si>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</si>
  <si>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</si>
  <si>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</si>
  <si>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</si>
  <si>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</si>
  <si>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</si>
  <si>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</si>
  <si>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</si>
  <si>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</si>
  <si>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</si>
  <si>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</si>
  <si>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</si>
  <si>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</si>
  <si>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</si>
  <si>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</si>
  <si>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</si>
  <si>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</si>
  <si>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</si>
  <si>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</si>
  <si>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</si>
  <si>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</si>
  <si>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</si>
  <si>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</si>
  <si>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</si>
  <si>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</si>
  <si>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</si>
  <si>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</si>
  <si>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</si>
  <si>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</si>
  <si>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</si>
  <si>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</si>
  <si>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</si>
  <si>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</si>
  <si>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</si>
  <si>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</si>
  <si>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</si>
  <si>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</si>
  <si>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</si>
  <si>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</si>
  <si>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</si>
  <si>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</si>
  <si>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</si>
  <si>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</si>
  <si>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</si>
  <si>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</si>
  <si>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</si>
  <si>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</si>
  <si>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</si>
  <si>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</si>
  <si>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</si>
  <si>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</si>
  <si>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</si>
  <si>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</si>
  <si>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</si>
  <si>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</si>
  <si>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</si>
  <si>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</si>
  <si>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</si>
  <si>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</si>
  <si>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</si>
  <si>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</si>
  <si>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</si>
  <si>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</si>
  <si>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</si>
  <si>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</si>
  <si>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</si>
  <si>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</si>
  <si>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</si>
  <si>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</si>
  <si>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</si>
  <si>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</si>
  <si>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</si>
  <si>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</si>
  <si>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</si>
  <si>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</si>
  <si>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</si>
  <si>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</si>
  <si>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</si>
  <si>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</si>
  <si>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</si>
  <si>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</si>
  <si>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</si>
  <si>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</si>
  <si>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</si>
  <si>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</si>
  <si>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</si>
  <si>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</si>
  <si>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</si>
  <si>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</si>
  <si>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</si>
  <si>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</si>
  <si>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</si>
  <si>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</si>
  <si>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</si>
  <si>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5/26/2016</t>
  </si>
  <si>
    <t>Unland Sacco</t>
  </si>
  <si>
    <t>well paid</t>
  </si>
  <si>
    <t>11/3/2017</t>
  </si>
  <si>
    <t>Mshwari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</si>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</sst>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Chicken_broilers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0.3784121987086654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0.4572376470588235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205342.4834640232</v>
      </c>
    </row>
    <row r="18" spans="1:7">
      <c r="B18" s="1" t="s">
        <v>12</v>
      </c>
      <c r="C18" s="36">
        <f>MIN(Output!B6:M6)</f>
        <v>-66227.97074614326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85885.56235829231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52000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11772.02925385675</v>
      </c>
      <c r="C6" s="51">
        <f>C30-C88</f>
        <v>85597.56235829231</v>
      </c>
      <c r="D6" s="51">
        <f>D30-D88</f>
        <v>85885.56235829231</v>
      </c>
      <c r="E6" s="51">
        <f>E30-E88</f>
        <v>-66227.97074614326</v>
      </c>
      <c r="F6" s="51">
        <f>F30-F88</f>
        <v>11772.02925385675</v>
      </c>
      <c r="G6" s="51">
        <f>G30-G88</f>
        <v>-1127.970746143248</v>
      </c>
      <c r="H6" s="51">
        <f>H30-H88</f>
        <v>11772.02925385675</v>
      </c>
      <c r="I6" s="51">
        <f>I30-I88</f>
        <v>85597.56235829231</v>
      </c>
      <c r="J6" s="51">
        <f>J30-J88</f>
        <v>85885.56235829231</v>
      </c>
      <c r="K6" s="51">
        <f>K30-K88</f>
        <v>-66227.97074614326</v>
      </c>
      <c r="L6" s="51">
        <f>L30-L88</f>
        <v>11772.02925385675</v>
      </c>
      <c r="M6" s="51">
        <f>M30-M88</f>
        <v>-51127.97074614324</v>
      </c>
      <c r="N6" s="51">
        <f>N30-N88</f>
        <v>11772.02925385675</v>
      </c>
      <c r="O6" s="51">
        <f>O30-O88</f>
        <v>85597.56235829231</v>
      </c>
      <c r="P6" s="51">
        <f>P30-P88</f>
        <v>85885.56235829231</v>
      </c>
      <c r="Q6" s="51">
        <f>Q30-Q88</f>
        <v>-66227.97074614326</v>
      </c>
      <c r="R6" s="51">
        <f>R30-R88</f>
        <v>11772.02925385675</v>
      </c>
      <c r="S6" s="51">
        <f>S30-S88</f>
        <v>-1127.970746143248</v>
      </c>
      <c r="T6" s="51">
        <f>T30-T88</f>
        <v>11772.02925385675</v>
      </c>
      <c r="U6" s="51">
        <f>U30-U88</f>
        <v>85597.56235829231</v>
      </c>
      <c r="V6" s="51">
        <f>V30-V88</f>
        <v>85885.56235829231</v>
      </c>
      <c r="W6" s="51">
        <f>W30-W88</f>
        <v>-66227.97074614326</v>
      </c>
      <c r="X6" s="51">
        <f>X30-X88</f>
        <v>11772.02925385675</v>
      </c>
      <c r="Y6" s="51">
        <f>Y30-Y88</f>
        <v>-51127.97074614324</v>
      </c>
      <c r="Z6" s="51">
        <f>SUMIF($B$13:$Y$13,"Yes",B6:Y6)</f>
        <v>217114.51271788</v>
      </c>
      <c r="AA6" s="51">
        <f>AA30-AA88</f>
        <v>205342.4834640232</v>
      </c>
      <c r="AB6" s="51">
        <f>AB30-AB88</f>
        <v>410684.9669280464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3090</v>
      </c>
      <c r="H7" s="80">
        <f>IF(ISERROR(VLOOKUP(MONTH(H5),Inputs!$D$66:$D$71,1,0)),"",INDEX(Inputs!$B$66:$B$71,MATCH(MONTH(Output!H5),Inputs!$D$66:$D$71,0))-INDEX(Inputs!$C$66:$C$71,MATCH(MONTH(Output!H5),Inputs!$D$66:$D$71,0)))</f>
        <v>1980</v>
      </c>
      <c r="I7" s="80">
        <f>IF(ISERROR(VLOOKUP(MONTH(I5),Inputs!$D$66:$D$71,1,0)),"",INDEX(Inputs!$B$66:$B$71,MATCH(MONTH(Output!I5),Inputs!$D$66:$D$71,0))-INDEX(Inputs!$C$66:$C$71,MATCH(MONTH(Output!I5),Inputs!$D$66:$D$71,0)))</f>
        <v>1000</v>
      </c>
      <c r="J7" s="80">
        <f>IF(ISERROR(VLOOKUP(MONTH(J5),Inputs!$D$66:$D$71,1,0)),"",INDEX(Inputs!$B$66:$B$71,MATCH(MONTH(Output!J5),Inputs!$D$66:$D$71,0))-INDEX(Inputs!$C$66:$C$71,MATCH(MONTH(Output!J5),Inputs!$D$66:$D$71,0)))</f>
        <v>3895</v>
      </c>
      <c r="K7" s="80">
        <f>IF(ISERROR(VLOOKUP(MONTH(K5),Inputs!$D$66:$D$71,1,0)),"",INDEX(Inputs!$B$66:$B$71,MATCH(MONTH(Output!K5),Inputs!$D$66:$D$71,0))-INDEX(Inputs!$C$66:$C$71,MATCH(MONTH(Output!K5),Inputs!$D$66:$D$71,0)))</f>
        <v>2266</v>
      </c>
      <c r="L7" s="80">
        <f>IF(ISERROR(VLOOKUP(MONTH(L5),Inputs!$D$66:$D$71,1,0)),"",INDEX(Inputs!$B$66:$B$71,MATCH(MONTH(Output!L5),Inputs!$D$66:$D$71,0))-INDEX(Inputs!$C$66:$C$71,MATCH(MONTH(Output!L5),Inputs!$D$66:$D$71,0)))</f>
        <v>4952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3090</v>
      </c>
      <c r="T7" s="80">
        <f>IF(ISERROR(VLOOKUP(MONTH(T5),Inputs!$D$66:$D$71,1,0)),"",INDEX(Inputs!$B$66:$B$71,MATCH(MONTH(Output!T5),Inputs!$D$66:$D$71,0))-INDEX(Inputs!$C$66:$C$71,MATCH(MONTH(Output!T5),Inputs!$D$66:$D$71,0)))</f>
        <v>1980</v>
      </c>
      <c r="U7" s="80">
        <f>IF(ISERROR(VLOOKUP(MONTH(U5),Inputs!$D$66:$D$71,1,0)),"",INDEX(Inputs!$B$66:$B$71,MATCH(MONTH(Output!U5),Inputs!$D$66:$D$71,0))-INDEX(Inputs!$C$66:$C$71,MATCH(MONTH(Output!U5),Inputs!$D$66:$D$71,0)))</f>
        <v>1000</v>
      </c>
      <c r="V7" s="80">
        <f>IF(ISERROR(VLOOKUP(MONTH(V5),Inputs!$D$66:$D$71,1,0)),"",INDEX(Inputs!$B$66:$B$71,MATCH(MONTH(Output!V5),Inputs!$D$66:$D$71,0))-INDEX(Inputs!$C$66:$C$71,MATCH(MONTH(Output!V5),Inputs!$D$66:$D$71,0)))</f>
        <v>3895</v>
      </c>
      <c r="W7" s="80">
        <f>IF(ISERROR(VLOOKUP(MONTH(W5),Inputs!$D$66:$D$71,1,0)),"",INDEX(Inputs!$B$66:$B$71,MATCH(MONTH(Output!W5),Inputs!$D$66:$D$71,0))-INDEX(Inputs!$C$66:$C$71,MATCH(MONTH(Output!W5),Inputs!$D$66:$D$71,0)))</f>
        <v>2266</v>
      </c>
      <c r="X7" s="80">
        <f>IF(ISERROR(VLOOKUP(MONTH(X5),Inputs!$D$66:$D$71,1,0)),"",INDEX(Inputs!$B$66:$B$71,MATCH(MONTH(Output!X5),Inputs!$D$66:$D$71,0))-INDEX(Inputs!$C$66:$C$71,MATCH(MONTH(Output!X5),Inputs!$D$66:$D$71,0)))</f>
        <v>4952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111772.0292538567</v>
      </c>
      <c r="C11" s="80">
        <f>C6+C9-C10</f>
        <v>75597.56235829231</v>
      </c>
      <c r="D11" s="80">
        <f>D6+D9-D10</f>
        <v>75885.56235829231</v>
      </c>
      <c r="E11" s="80">
        <f>E6+E9-E10</f>
        <v>-76227.97074614326</v>
      </c>
      <c r="F11" s="80">
        <f>F6+F9-F10</f>
        <v>1772.02925385675</v>
      </c>
      <c r="G11" s="80">
        <f>G6+G9-G10</f>
        <v>-11127.97074614325</v>
      </c>
      <c r="H11" s="80">
        <f>H6+H9-H10</f>
        <v>1772.02925385675</v>
      </c>
      <c r="I11" s="80">
        <f>I6+I9-I10</f>
        <v>75597.56235829231</v>
      </c>
      <c r="J11" s="80">
        <f>J6+J9-J10</f>
        <v>75885.56235829231</v>
      </c>
      <c r="K11" s="80">
        <f>K6+K9-K10</f>
        <v>-76227.97074614326</v>
      </c>
      <c r="L11" s="80">
        <f>L6+L9-L10</f>
        <v>1772.02925385675</v>
      </c>
      <c r="M11" s="80">
        <f>M6+M9-M10</f>
        <v>-61127.97074614324</v>
      </c>
      <c r="N11" s="80">
        <f>N6+N9-N10</f>
        <v>1772.02925385675</v>
      </c>
      <c r="O11" s="80">
        <f>O6+O9-O10</f>
        <v>85597.56235829231</v>
      </c>
      <c r="P11" s="80">
        <f>P6+P9-P10</f>
        <v>85885.56235829231</v>
      </c>
      <c r="Q11" s="80">
        <f>Q6+Q9-Q10</f>
        <v>-66227.97074614326</v>
      </c>
      <c r="R11" s="80">
        <f>R6+R9-R10</f>
        <v>11772.02925385675</v>
      </c>
      <c r="S11" s="80">
        <f>S6+S9-S10</f>
        <v>-1127.970746143248</v>
      </c>
      <c r="T11" s="80">
        <f>T6+T9-T10</f>
        <v>11772.02925385675</v>
      </c>
      <c r="U11" s="80">
        <f>U6+U9-U10</f>
        <v>85597.56235829231</v>
      </c>
      <c r="V11" s="80">
        <f>V6+V9-V10</f>
        <v>85885.56235829231</v>
      </c>
      <c r="W11" s="80">
        <f>W6+W9-W10</f>
        <v>-66227.97074614326</v>
      </c>
      <c r="X11" s="80">
        <f>X6+X9-X10</f>
        <v>11772.02925385675</v>
      </c>
      <c r="Y11" s="80">
        <f>Y6+Y9-Y10</f>
        <v>-51127.97074614324</v>
      </c>
      <c r="Z11" s="85">
        <f>SUMIF($B$13:$Y$13,"Yes",B11:Y11)</f>
        <v>197114.51271788</v>
      </c>
      <c r="AA11" s="80">
        <f>SUM(B11:M11)</f>
        <v>195342.4834640232</v>
      </c>
      <c r="AB11" s="46">
        <f>SUM(B11:Y11)</f>
        <v>390684.9669280463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0.05066636617281449</v>
      </c>
      <c r="D12" s="82">
        <f>IF(D13="Yes",IF(SUM($B$10:D10)/(SUM($B$6:D6)+SUM($B$9:D9))&lt;0,999.99,SUM($B$10:D10)/(SUM($B$6:D6)+SUM($B$9:D9))),"")</f>
        <v>0.07060771788140903</v>
      </c>
      <c r="E12" s="82">
        <f>IF(E13="Yes",IF(SUM($B$10:E10)/(SUM($B$6:E6)+SUM($B$9:E9))&lt;0,999.99,SUM($B$10:E10)/(SUM($B$6:E6)+SUM($B$9:E9))),"")</f>
        <v>0.1382315318952231</v>
      </c>
      <c r="F12" s="82">
        <f>IF(F13="Yes",IF(SUM($B$10:F10)/(SUM($B$6:F6)+SUM($B$9:F9))&lt;0,999.99,SUM($B$10:F10)/(SUM($B$6:F6)+SUM($B$9:F9))),"")</f>
        <v>0.1748257765695723</v>
      </c>
      <c r="G12" s="82">
        <f>IF(G13="Yes",IF(SUM($B$10:G10)/(SUM($B$6:G6)+SUM($B$9:G9))&lt;0,999.99,SUM($B$10:G10)/(SUM($B$6:G6)+SUM($B$9:G9))),"")</f>
        <v>0.219614913239039</v>
      </c>
      <c r="H12" s="82">
        <f>IF(H13="Yes",IF(SUM($B$10:H10)/(SUM($B$6:H6)+SUM($B$9:H9))&lt;0,999.99,SUM($B$10:H10)/(SUM($B$6:H6)+SUM($B$9:H9))),"")</f>
        <v>0.2505812744411645</v>
      </c>
      <c r="I12" s="82">
        <f>IF(I13="Yes",IF(SUM($B$10:I10)/(SUM($B$6:I6)+SUM($B$9:I9))&lt;0,999.99,SUM($B$10:I10)/(SUM($B$6:I6)+SUM($B$9:I9))),"")</f>
        <v>0.2153575576330202</v>
      </c>
      <c r="J12" s="82">
        <f>IF(J13="Yes",IF(SUM($B$10:J10)/(SUM($B$6:J6)+SUM($B$9:J9))&lt;0,999.99,SUM($B$10:J10)/(SUM($B$6:J6)+SUM($B$9:J9))),"")</f>
        <v>0.194682066756128</v>
      </c>
      <c r="K12" s="82">
        <f>IF(K13="Yes",IF(SUM($B$10:K10)/(SUM($B$6:K6)+SUM($B$9:K9))&lt;0,999.99,SUM($B$10:K10)/(SUM($B$6:K6)+SUM($B$9:K9))),"")</f>
        <v>0.2610977987828271</v>
      </c>
      <c r="L12" s="82">
        <f>IF(L13="Yes",IF(SUM($B$10:L10)/(SUM($B$6:L6)+SUM($B$9:L9))&lt;0,999.99,SUM($B$10:L10)/(SUM($B$6:L6)+SUM($B$9:L9))),"")</f>
        <v>0.2805281582777191</v>
      </c>
      <c r="M12" s="82">
        <f>IF(M13="Yes",IF(SUM($B$10:M10)/(SUM($B$6:M6)+SUM($B$9:M9))&lt;0,999.99,SUM($B$10:M10)/(SUM($B$6:M6)+SUM($B$9:M9))),"")</f>
        <v>0.3602512128416637</v>
      </c>
      <c r="N12" s="82">
        <f>IF(N13="Yes",IF(SUM($B$10:N10)/(SUM($B$6:N6)+SUM($B$9:N9))&lt;0,999.99,SUM($B$10:N10)/(SUM($B$6:N6)+SUM($B$9:N9))),"")</f>
        <v>0.3784121987086654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73825.53310443557</v>
      </c>
      <c r="D18" s="36">
        <f>P18</f>
        <v>73825.53310443557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73825.53310443557</v>
      </c>
      <c r="J18" s="36">
        <f>V18</f>
        <v>73825.53310443557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73825.53310443557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73825.53310443557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73825.53310443557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73825.53310443557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295302.1324177423</v>
      </c>
      <c r="AA18" s="36">
        <f>SUM(B18:M18)</f>
        <v>295302.1324177423</v>
      </c>
      <c r="AB18" s="36">
        <f>SUM(B18:Y18)</f>
        <v>590604.2648354844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18200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8984.375</v>
      </c>
      <c r="C24" s="36">
        <f>IFERROR(Calculations!$P14/12,"")</f>
        <v>8984.375</v>
      </c>
      <c r="D24" s="36">
        <f>IFERROR(Calculations!$P14/12,"")</f>
        <v>8984.375</v>
      </c>
      <c r="E24" s="36">
        <f>IFERROR(Calculations!$P14/12,"")</f>
        <v>8984.375</v>
      </c>
      <c r="F24" s="36">
        <f>IFERROR(Calculations!$P14/12,"")</f>
        <v>8984.375</v>
      </c>
      <c r="G24" s="36">
        <f>IFERROR(Calculations!$P14/12,"")</f>
        <v>8984.375</v>
      </c>
      <c r="H24" s="36">
        <f>IFERROR(Calculations!$P14/12,"")</f>
        <v>8984.375</v>
      </c>
      <c r="I24" s="36">
        <f>IFERROR(Calculations!$P14/12,"")</f>
        <v>8984.375</v>
      </c>
      <c r="J24" s="36">
        <f>IFERROR(Calculations!$P14/12,"")</f>
        <v>8984.375</v>
      </c>
      <c r="K24" s="36">
        <f>IFERROR(Calculations!$P14/12,"")</f>
        <v>8984.375</v>
      </c>
      <c r="L24" s="36">
        <f>IFERROR(Calculations!$P14/12,"")</f>
        <v>8984.375</v>
      </c>
      <c r="M24" s="36">
        <f>IFERROR(Calculations!$P14/12,"")</f>
        <v>8984.375</v>
      </c>
      <c r="N24" s="36">
        <f>IFERROR(Calculations!$P14/12,"")</f>
        <v>8984.375</v>
      </c>
      <c r="O24" s="36">
        <f>IFERROR(Calculations!$P14/12,"")</f>
        <v>8984.375</v>
      </c>
      <c r="P24" s="36">
        <f>IFERROR(Calculations!$P14/12,"")</f>
        <v>8984.375</v>
      </c>
      <c r="Q24" s="36">
        <f>IFERROR(Calculations!$P14/12,"")</f>
        <v>8984.375</v>
      </c>
      <c r="R24" s="36">
        <f>IFERROR(Calculations!$P14/12,"")</f>
        <v>8984.375</v>
      </c>
      <c r="S24" s="36">
        <f>IFERROR(Calculations!$P14/12,"")</f>
        <v>8984.375</v>
      </c>
      <c r="T24" s="36">
        <f>IFERROR(Calculations!$P14/12,"")</f>
        <v>8984.375</v>
      </c>
      <c r="U24" s="36">
        <f>IFERROR(Calculations!$P14/12,"")</f>
        <v>8984.375</v>
      </c>
      <c r="V24" s="36">
        <f>IFERROR(Calculations!$P14/12,"")</f>
        <v>8984.375</v>
      </c>
      <c r="W24" s="36">
        <f>IFERROR(Calculations!$P14/12,"")</f>
        <v>8984.375</v>
      </c>
      <c r="X24" s="36">
        <f>IFERROR(Calculations!$P14/12,"")</f>
        <v>8984.375</v>
      </c>
      <c r="Y24" s="36">
        <f>IFERROR(Calculations!$P14/12,"")</f>
        <v>8984.375</v>
      </c>
      <c r="Z24" s="36">
        <f>SUMIF($B$13:$Y$13,"Yes",B24:Y24)</f>
        <v>116796.875</v>
      </c>
      <c r="AA24" s="36">
        <f>SUM(B24:M24)</f>
        <v>107812.5</v>
      </c>
      <c r="AB24" s="46">
        <f>SUM(B24:Y24)</f>
        <v>215625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8400</v>
      </c>
      <c r="C25" s="36">
        <f>IFERROR(Calculations!$P15/12,"")</f>
        <v>8400</v>
      </c>
      <c r="D25" s="36">
        <f>IFERROR(Calculations!$P15/12,"")</f>
        <v>8400</v>
      </c>
      <c r="E25" s="36">
        <f>IFERROR(Calculations!$P15/12,"")</f>
        <v>8400</v>
      </c>
      <c r="F25" s="36">
        <f>IFERROR(Calculations!$P15/12,"")</f>
        <v>8400</v>
      </c>
      <c r="G25" s="36">
        <f>IFERROR(Calculations!$P15/12,"")</f>
        <v>8400</v>
      </c>
      <c r="H25" s="36">
        <f>IFERROR(Calculations!$P15/12,"")</f>
        <v>8400</v>
      </c>
      <c r="I25" s="36">
        <f>IFERROR(Calculations!$P15/12,"")</f>
        <v>8400</v>
      </c>
      <c r="J25" s="36">
        <f>IFERROR(Calculations!$P15/12,"")</f>
        <v>8400</v>
      </c>
      <c r="K25" s="36">
        <f>IFERROR(Calculations!$P15/12,"")</f>
        <v>8400</v>
      </c>
      <c r="L25" s="36">
        <f>IFERROR(Calculations!$P15/12,"")</f>
        <v>8400</v>
      </c>
      <c r="M25" s="36">
        <f>IFERROR(Calculations!$P15/12,"")</f>
        <v>8400</v>
      </c>
      <c r="N25" s="36">
        <f>IFERROR(Calculations!$P15/12,"")</f>
        <v>8400</v>
      </c>
      <c r="O25" s="36">
        <f>IFERROR(Calculations!$P15/12,"")</f>
        <v>8400</v>
      </c>
      <c r="P25" s="36">
        <f>IFERROR(Calculations!$P15/12,"")</f>
        <v>8400</v>
      </c>
      <c r="Q25" s="36">
        <f>IFERROR(Calculations!$P15/12,"")</f>
        <v>8400</v>
      </c>
      <c r="R25" s="36">
        <f>IFERROR(Calculations!$P15/12,"")</f>
        <v>8400</v>
      </c>
      <c r="S25" s="36">
        <f>IFERROR(Calculations!$P15/12,"")</f>
        <v>8400</v>
      </c>
      <c r="T25" s="36">
        <f>IFERROR(Calculations!$P15/12,"")</f>
        <v>8400</v>
      </c>
      <c r="U25" s="36">
        <f>IFERROR(Calculations!$P15/12,"")</f>
        <v>8400</v>
      </c>
      <c r="V25" s="36">
        <f>IFERROR(Calculations!$P15/12,"")</f>
        <v>8400</v>
      </c>
      <c r="W25" s="36">
        <f>IFERROR(Calculations!$P15/12,"")</f>
        <v>8400</v>
      </c>
      <c r="X25" s="36">
        <f>IFERROR(Calculations!$P15/12,"")</f>
        <v>8400</v>
      </c>
      <c r="Y25" s="36">
        <f>IFERROR(Calculations!$P15/12,"")</f>
        <v>8400</v>
      </c>
      <c r="Z25" s="36">
        <f>SUMIF($B$13:$Y$13,"Yes",B25:Y25)</f>
        <v>109200</v>
      </c>
      <c r="AA25" s="36">
        <f>SUM(B25:M25)</f>
        <v>100800</v>
      </c>
      <c r="AB25" s="46">
        <f>SUM(B25:Y25)</f>
        <v>201600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27384.375</v>
      </c>
      <c r="C30" s="19">
        <f>SUM(C18:C29)</f>
        <v>101209.9081044356</v>
      </c>
      <c r="D30" s="19">
        <f>SUM(D18:D29)</f>
        <v>101209.9081044356</v>
      </c>
      <c r="E30" s="19">
        <f>SUM(E18:E29)</f>
        <v>27384.375</v>
      </c>
      <c r="F30" s="19">
        <f>SUM(F18:F29)</f>
        <v>27384.375</v>
      </c>
      <c r="G30" s="19">
        <f>SUM(G18:G29)</f>
        <v>27384.375</v>
      </c>
      <c r="H30" s="19">
        <f>SUM(H18:H29)</f>
        <v>27384.375</v>
      </c>
      <c r="I30" s="19">
        <f>SUM(I18:I29)</f>
        <v>101209.9081044356</v>
      </c>
      <c r="J30" s="19">
        <f>SUM(J18:J29)</f>
        <v>101209.9081044356</v>
      </c>
      <c r="K30" s="19">
        <f>SUM(K18:K29)</f>
        <v>27384.375</v>
      </c>
      <c r="L30" s="19">
        <f>SUM(L18:L29)</f>
        <v>27384.375</v>
      </c>
      <c r="M30" s="19">
        <f>SUM(M18:M29)</f>
        <v>27384.375</v>
      </c>
      <c r="N30" s="19">
        <f>SUM(N18:N29)</f>
        <v>27384.375</v>
      </c>
      <c r="O30" s="19">
        <f>SUM(O18:O29)</f>
        <v>101209.9081044356</v>
      </c>
      <c r="P30" s="19">
        <f>SUM(P18:P29)</f>
        <v>101209.9081044356</v>
      </c>
      <c r="Q30" s="19">
        <f>SUM(Q18:Q29)</f>
        <v>27384.375</v>
      </c>
      <c r="R30" s="19">
        <f>SUM(R18:R29)</f>
        <v>27384.375</v>
      </c>
      <c r="S30" s="19">
        <f>SUM(S18:S29)</f>
        <v>27384.375</v>
      </c>
      <c r="T30" s="19">
        <f>SUM(T18:T29)</f>
        <v>27384.375</v>
      </c>
      <c r="U30" s="19">
        <f>SUM(U18:U29)</f>
        <v>101209.9081044356</v>
      </c>
      <c r="V30" s="19">
        <f>SUM(V18:V29)</f>
        <v>101209.9081044356</v>
      </c>
      <c r="W30" s="19">
        <f>SUM(W18:W29)</f>
        <v>27384.375</v>
      </c>
      <c r="X30" s="19">
        <f>SUM(X18:X29)</f>
        <v>27384.375</v>
      </c>
      <c r="Y30" s="19">
        <f>SUM(Y18:Y29)</f>
        <v>27384.375</v>
      </c>
      <c r="Z30" s="19">
        <f>SUMIF($B$13:$Y$13,"Yes",B30:Y30)</f>
        <v>651299.0074177423</v>
      </c>
      <c r="AA30" s="19">
        <f>SUM(B30:M30)</f>
        <v>623914.6324177423</v>
      </c>
      <c r="AB30" s="19">
        <f>SUM(B30:Y30)</f>
        <v>1247829.264835485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6000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6000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6000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6000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6000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6000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6000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6000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12900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12900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12900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12900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12900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12900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12900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12900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287.9999999999998</v>
      </c>
      <c r="C66" s="36">
        <f>O66</f>
        <v>287.9999999999998</v>
      </c>
      <c r="D66" s="36">
        <f>P66</f>
        <v>0</v>
      </c>
      <c r="E66" s="36">
        <f>Q66</f>
        <v>287.9999999999998</v>
      </c>
      <c r="F66" s="36">
        <f>R66</f>
        <v>287.9999999999998</v>
      </c>
      <c r="G66" s="36">
        <f>S66</f>
        <v>287.9999999999998</v>
      </c>
      <c r="H66" s="36">
        <f>T66</f>
        <v>287.9999999999998</v>
      </c>
      <c r="I66" s="36">
        <f>U66</f>
        <v>287.9999999999998</v>
      </c>
      <c r="J66" s="36">
        <f>V66</f>
        <v>0</v>
      </c>
      <c r="K66" s="36">
        <f>W66</f>
        <v>287.9999999999998</v>
      </c>
      <c r="L66" s="36">
        <f>X66</f>
        <v>287.9999999999998</v>
      </c>
      <c r="M66" s="36">
        <f>Y66</f>
        <v>287.9999999999998</v>
      </c>
      <c r="N66" s="46">
        <f>SUM(N67:N71)</f>
        <v>287.9999999999998</v>
      </c>
      <c r="O66" s="46">
        <f>SUM(O67:O71)</f>
        <v>287.9999999999998</v>
      </c>
      <c r="P66" s="46">
        <f>SUM(P67:P71)</f>
        <v>0</v>
      </c>
      <c r="Q66" s="46">
        <f>SUM(Q67:Q71)</f>
        <v>287.9999999999998</v>
      </c>
      <c r="R66" s="46">
        <f>SUM(R67:R71)</f>
        <v>287.9999999999998</v>
      </c>
      <c r="S66" s="46">
        <f>SUM(S67:S71)</f>
        <v>287.9999999999998</v>
      </c>
      <c r="T66" s="46">
        <f>SUM(T67:T71)</f>
        <v>287.9999999999998</v>
      </c>
      <c r="U66" s="46">
        <f>SUM(U67:U71)</f>
        <v>287.9999999999998</v>
      </c>
      <c r="V66" s="46">
        <f>SUM(V67:V71)</f>
        <v>0</v>
      </c>
      <c r="W66" s="46">
        <f>SUM(W67:W71)</f>
        <v>287.9999999999998</v>
      </c>
      <c r="X66" s="46">
        <f>SUM(X67:X71)</f>
        <v>287.9999999999998</v>
      </c>
      <c r="Y66" s="46">
        <f>SUM(Y67:Y71)</f>
        <v>287.9999999999998</v>
      </c>
      <c r="Z66" s="46">
        <f>SUMIF($B$13:$Y$13,"Yes",B66:Y66)</f>
        <v>3167.999999999999</v>
      </c>
      <c r="AA66" s="46">
        <f>SUM(B66:M66)</f>
        <v>2879.999999999999</v>
      </c>
      <c r="AB66" s="46">
        <f>SUM(B66:Y66)</f>
        <v>5759.999999999998</v>
      </c>
    </row>
    <row r="67" spans="1:30" hidden="true" outlineLevel="1">
      <c r="A67" s="181" t="str">
        <f>Calculations!$A$4</f>
        <v>Potatoes</v>
      </c>
      <c r="B67" s="36">
        <f>N67</f>
        <v>287.9999999999998</v>
      </c>
      <c r="C67" s="36">
        <f>O67</f>
        <v>287.9999999999998</v>
      </c>
      <c r="D67" s="36">
        <f>P67</f>
        <v>0</v>
      </c>
      <c r="E67" s="36">
        <f>Q67</f>
        <v>287.9999999999998</v>
      </c>
      <c r="F67" s="36">
        <f>R67</f>
        <v>287.9999999999998</v>
      </c>
      <c r="G67" s="36">
        <f>S67</f>
        <v>287.9999999999998</v>
      </c>
      <c r="H67" s="36">
        <f>T67</f>
        <v>287.9999999999998</v>
      </c>
      <c r="I67" s="36">
        <f>U67</f>
        <v>287.9999999999998</v>
      </c>
      <c r="J67" s="36">
        <f>V67</f>
        <v>0</v>
      </c>
      <c r="K67" s="36">
        <f>W67</f>
        <v>287.9999999999998</v>
      </c>
      <c r="L67" s="36">
        <f>X67</f>
        <v>287.9999999999998</v>
      </c>
      <c r="M67" s="36">
        <f>Y67</f>
        <v>287.9999999999998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287.9999999999998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287.9999999999998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287.9999999999998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287.9999999999998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287.9999999999998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287.9999999999998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287.9999999999998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287.9999999999998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287.9999999999998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287.9999999999998</v>
      </c>
      <c r="Z67" s="46">
        <f>SUMIF($B$13:$Y$13,"Yes",B67:Y67)</f>
        <v>3167.999999999999</v>
      </c>
      <c r="AA67" s="46">
        <f>SUM(B67:M67)</f>
        <v>2879.999999999999</v>
      </c>
      <c r="AB67" s="46">
        <f>SUM(B67:Y67)</f>
        <v>5759.999999999998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50000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50000</v>
      </c>
      <c r="Z72" s="46">
        <f>SUMIF($B$13:$Y$13,"Yes",B72:Y72)</f>
        <v>50000</v>
      </c>
      <c r="AA72" s="46">
        <f>SUM(B72:M72)</f>
        <v>50000</v>
      </c>
      <c r="AB72" s="46">
        <f>SUM(B72:Y72)</f>
        <v>100000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2509.375</v>
      </c>
      <c r="C74" s="46">
        <f>SUM(Calculations!$Q$14:$Q$16)/12</f>
        <v>2509.375</v>
      </c>
      <c r="D74" s="46">
        <f>SUM(Calculations!$Q$14:$Q$16)/12</f>
        <v>2509.375</v>
      </c>
      <c r="E74" s="46">
        <f>SUM(Calculations!$Q$14:$Q$16)/12</f>
        <v>2509.375</v>
      </c>
      <c r="F74" s="46">
        <f>SUM(Calculations!$Q$14:$Q$16)/12</f>
        <v>2509.375</v>
      </c>
      <c r="G74" s="46">
        <f>SUM(Calculations!$Q$14:$Q$16)/12</f>
        <v>2509.375</v>
      </c>
      <c r="H74" s="46">
        <f>SUM(Calculations!$Q$14:$Q$16)/12</f>
        <v>2509.375</v>
      </c>
      <c r="I74" s="46">
        <f>SUM(Calculations!$Q$14:$Q$16)/12</f>
        <v>2509.375</v>
      </c>
      <c r="J74" s="46">
        <f>SUM(Calculations!$Q$14:$Q$16)/12</f>
        <v>2509.375</v>
      </c>
      <c r="K74" s="46">
        <f>SUM(Calculations!$Q$14:$Q$16)/12</f>
        <v>2509.375</v>
      </c>
      <c r="L74" s="46">
        <f>SUM(Calculations!$Q$14:$Q$16)/12</f>
        <v>2509.375</v>
      </c>
      <c r="M74" s="46">
        <f>SUM(Calculations!$Q$14:$Q$16)/12</f>
        <v>2509.375</v>
      </c>
      <c r="N74" s="46">
        <f>SUM(Calculations!$Q$14:$Q$16)/12</f>
        <v>2509.375</v>
      </c>
      <c r="O74" s="46">
        <f>SUM(Calculations!$Q$14:$Q$16)/12</f>
        <v>2509.375</v>
      </c>
      <c r="P74" s="46">
        <f>SUM(Calculations!$Q$14:$Q$16)/12</f>
        <v>2509.375</v>
      </c>
      <c r="Q74" s="46">
        <f>SUM(Calculations!$Q$14:$Q$16)/12</f>
        <v>2509.375</v>
      </c>
      <c r="R74" s="46">
        <f>SUM(Calculations!$Q$14:$Q$16)/12</f>
        <v>2509.375</v>
      </c>
      <c r="S74" s="46">
        <f>SUM(Calculations!$Q$14:$Q$16)/12</f>
        <v>2509.375</v>
      </c>
      <c r="T74" s="46">
        <f>SUM(Calculations!$Q$14:$Q$16)/12</f>
        <v>2509.375</v>
      </c>
      <c r="U74" s="46">
        <f>SUM(Calculations!$Q$14:$Q$16)/12</f>
        <v>2509.375</v>
      </c>
      <c r="V74" s="46">
        <f>SUM(Calculations!$Q$14:$Q$16)/12</f>
        <v>2509.375</v>
      </c>
      <c r="W74" s="46">
        <f>SUM(Calculations!$Q$14:$Q$16)/12</f>
        <v>2509.375</v>
      </c>
      <c r="X74" s="46">
        <f>SUM(Calculations!$Q$14:$Q$16)/12</f>
        <v>2509.375</v>
      </c>
      <c r="Y74" s="46">
        <f>SUM(Calculations!$Q$14:$Q$16)/12</f>
        <v>2509.375</v>
      </c>
      <c r="Z74" s="46">
        <f>SUMIF($B$13:$Y$13,"Yes",B74:Y74)</f>
        <v>32621.875</v>
      </c>
      <c r="AA74" s="46">
        <f>SUM(B74:M74)</f>
        <v>30112.5</v>
      </c>
      <c r="AB74" s="46">
        <f>SUM(B74:Y74)</f>
        <v>60225</v>
      </c>
    </row>
    <row r="75" spans="1:30">
      <c r="A75" s="16" t="s">
        <v>47</v>
      </c>
      <c r="B75" s="46">
        <f>SUM(Calculations!$R$14:$R$16)/12</f>
        <v>576.6666666666666</v>
      </c>
      <c r="C75" s="46">
        <f>SUM(Calculations!$R$14:$R$16)/12</f>
        <v>576.6666666666666</v>
      </c>
      <c r="D75" s="46">
        <f>SUM(Calculations!$R$14:$R$16)/12</f>
        <v>576.6666666666666</v>
      </c>
      <c r="E75" s="46">
        <f>SUM(Calculations!$R$14:$R$16)/12</f>
        <v>576.6666666666666</v>
      </c>
      <c r="F75" s="46">
        <f>SUM(Calculations!$R$14:$R$16)/12</f>
        <v>576.6666666666666</v>
      </c>
      <c r="G75" s="46">
        <f>SUM(Calculations!$R$14:$R$16)/12</f>
        <v>576.6666666666666</v>
      </c>
      <c r="H75" s="46">
        <f>SUM(Calculations!$R$14:$R$16)/12</f>
        <v>576.6666666666666</v>
      </c>
      <c r="I75" s="46">
        <f>SUM(Calculations!$R$14:$R$16)/12</f>
        <v>576.6666666666666</v>
      </c>
      <c r="J75" s="46">
        <f>SUM(Calculations!$R$14:$R$16)/12</f>
        <v>576.6666666666666</v>
      </c>
      <c r="K75" s="46">
        <f>SUM(Calculations!$R$14:$R$16)/12</f>
        <v>576.6666666666666</v>
      </c>
      <c r="L75" s="46">
        <f>SUM(Calculations!$R$14:$R$16)/12</f>
        <v>576.6666666666666</v>
      </c>
      <c r="M75" s="46">
        <f>SUM(Calculations!$R$14:$R$16)/12</f>
        <v>576.6666666666666</v>
      </c>
      <c r="N75" s="46">
        <f>SUM(Calculations!$R$14:$R$16)/12</f>
        <v>576.6666666666666</v>
      </c>
      <c r="O75" s="46">
        <f>SUM(Calculations!$R$14:$R$16)/12</f>
        <v>576.6666666666666</v>
      </c>
      <c r="P75" s="46">
        <f>SUM(Calculations!$R$14:$R$16)/12</f>
        <v>576.6666666666666</v>
      </c>
      <c r="Q75" s="46">
        <f>SUM(Calculations!$R$14:$R$16)/12</f>
        <v>576.6666666666666</v>
      </c>
      <c r="R75" s="46">
        <f>SUM(Calculations!$R$14:$R$16)/12</f>
        <v>576.6666666666666</v>
      </c>
      <c r="S75" s="46">
        <f>SUM(Calculations!$R$14:$R$16)/12</f>
        <v>576.6666666666666</v>
      </c>
      <c r="T75" s="46">
        <f>SUM(Calculations!$R$14:$R$16)/12</f>
        <v>576.6666666666666</v>
      </c>
      <c r="U75" s="46">
        <f>SUM(Calculations!$R$14:$R$16)/12</f>
        <v>576.6666666666666</v>
      </c>
      <c r="V75" s="46">
        <f>SUM(Calculations!$R$14:$R$16)/12</f>
        <v>576.6666666666666</v>
      </c>
      <c r="W75" s="46">
        <f>SUM(Calculations!$R$14:$R$16)/12</f>
        <v>576.6666666666666</v>
      </c>
      <c r="X75" s="46">
        <f>SUM(Calculations!$R$14:$R$16)/12</f>
        <v>576.6666666666666</v>
      </c>
      <c r="Y75" s="46">
        <f>SUM(Calculations!$R$14:$R$16)/12</f>
        <v>576.6666666666666</v>
      </c>
      <c r="Z75" s="46">
        <f>SUMIF($B$13:$Y$13,"Yes",B75:Y75)</f>
        <v>7496.666666666668</v>
      </c>
      <c r="AA75" s="46">
        <f>SUM(B75:M75)</f>
        <v>6920.000000000001</v>
      </c>
      <c r="AB75" s="46">
        <f>SUM(B75:Y75)</f>
        <v>13840</v>
      </c>
    </row>
    <row r="76" spans="1:30">
      <c r="A76" s="16" t="s">
        <v>48</v>
      </c>
      <c r="B76" s="46">
        <f>SUM(Calculations!$S$14:$S$16)/12</f>
        <v>758.3333333333334</v>
      </c>
      <c r="C76" s="46">
        <f>SUM(Calculations!$S$14:$S$16)/12</f>
        <v>758.3333333333334</v>
      </c>
      <c r="D76" s="46">
        <f>SUM(Calculations!$S$14:$S$16)/12</f>
        <v>758.3333333333334</v>
      </c>
      <c r="E76" s="46">
        <f>SUM(Calculations!$S$14:$S$16)/12</f>
        <v>758.3333333333334</v>
      </c>
      <c r="F76" s="46">
        <f>SUM(Calculations!$S$14:$S$16)/12</f>
        <v>758.3333333333334</v>
      </c>
      <c r="G76" s="46">
        <f>SUM(Calculations!$S$14:$S$16)/12</f>
        <v>758.3333333333334</v>
      </c>
      <c r="H76" s="46">
        <f>SUM(Calculations!$S$14:$S$16)/12</f>
        <v>758.3333333333334</v>
      </c>
      <c r="I76" s="46">
        <f>SUM(Calculations!$S$14:$S$16)/12</f>
        <v>758.3333333333334</v>
      </c>
      <c r="J76" s="46">
        <f>SUM(Calculations!$S$14:$S$16)/12</f>
        <v>758.3333333333334</v>
      </c>
      <c r="K76" s="46">
        <f>SUM(Calculations!$S$14:$S$16)/12</f>
        <v>758.3333333333334</v>
      </c>
      <c r="L76" s="46">
        <f>SUM(Calculations!$S$14:$S$16)/12</f>
        <v>758.3333333333334</v>
      </c>
      <c r="M76" s="46">
        <f>SUM(Calculations!$S$14:$S$16)/12</f>
        <v>758.3333333333334</v>
      </c>
      <c r="N76" s="46">
        <f>SUM(Calculations!$S$14:$S$16)/12</f>
        <v>758.3333333333334</v>
      </c>
      <c r="O76" s="46">
        <f>SUM(Calculations!$S$14:$S$16)/12</f>
        <v>758.3333333333334</v>
      </c>
      <c r="P76" s="46">
        <f>SUM(Calculations!$S$14:$S$16)/12</f>
        <v>758.3333333333334</v>
      </c>
      <c r="Q76" s="46">
        <f>SUM(Calculations!$S$14:$S$16)/12</f>
        <v>758.3333333333334</v>
      </c>
      <c r="R76" s="46">
        <f>SUM(Calculations!$S$14:$S$16)/12</f>
        <v>758.3333333333334</v>
      </c>
      <c r="S76" s="46">
        <f>SUM(Calculations!$S$14:$S$16)/12</f>
        <v>758.3333333333334</v>
      </c>
      <c r="T76" s="46">
        <f>SUM(Calculations!$S$14:$S$16)/12</f>
        <v>758.3333333333334</v>
      </c>
      <c r="U76" s="46">
        <f>SUM(Calculations!$S$14:$S$16)/12</f>
        <v>758.3333333333334</v>
      </c>
      <c r="V76" s="46">
        <f>SUM(Calculations!$S$14:$S$16)/12</f>
        <v>758.3333333333334</v>
      </c>
      <c r="W76" s="46">
        <f>SUM(Calculations!$S$14:$S$16)/12</f>
        <v>758.3333333333334</v>
      </c>
      <c r="X76" s="46">
        <f>SUM(Calculations!$S$14:$S$16)/12</f>
        <v>758.3333333333334</v>
      </c>
      <c r="Y76" s="46">
        <f>SUM(Calculations!$S$14:$S$16)/12</f>
        <v>758.3333333333334</v>
      </c>
      <c r="Z76" s="46">
        <f>SUMIF($B$13:$Y$13,"Yes",B76:Y76)</f>
        <v>9858.333333333334</v>
      </c>
      <c r="AA76" s="46">
        <f>SUM(B76:M76)</f>
        <v>9100</v>
      </c>
      <c r="AB76" s="46">
        <f>SUM(B76:Y76)</f>
        <v>18200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11436.73774725808</v>
      </c>
      <c r="C81" s="46">
        <f>(SUM($AA$18:$AA$29)-SUM($AA$36,$AA$42,$AA$48,$AA$54,$AA$60,$AA$66,$AA$72:$AA$79))*Parameters!$B$37/12</f>
        <v>11436.73774725808</v>
      </c>
      <c r="D81" s="46">
        <f>(SUM($AA$18:$AA$29)-SUM($AA$36,$AA$42,$AA$48,$AA$54,$AA$60,$AA$66,$AA$72:$AA$79))*Parameters!$B$37/12</f>
        <v>11436.73774725808</v>
      </c>
      <c r="E81" s="46">
        <f>(SUM($AA$18:$AA$29)-SUM($AA$36,$AA$42,$AA$48,$AA$54,$AA$60,$AA$66,$AA$72:$AA$79))*Parameters!$B$37/12</f>
        <v>11436.73774725808</v>
      </c>
      <c r="F81" s="46">
        <f>(SUM($AA$18:$AA$29)-SUM($AA$36,$AA$42,$AA$48,$AA$54,$AA$60,$AA$66,$AA$72:$AA$79))*Parameters!$B$37/12</f>
        <v>11436.73774725808</v>
      </c>
      <c r="G81" s="46">
        <f>(SUM($AA$18:$AA$29)-SUM($AA$36,$AA$42,$AA$48,$AA$54,$AA$60,$AA$66,$AA$72:$AA$79))*Parameters!$B$37/12</f>
        <v>11436.73774725808</v>
      </c>
      <c r="H81" s="46">
        <f>(SUM($AA$18:$AA$29)-SUM($AA$36,$AA$42,$AA$48,$AA$54,$AA$60,$AA$66,$AA$72:$AA$79))*Parameters!$B$37/12</f>
        <v>11436.73774725808</v>
      </c>
      <c r="I81" s="46">
        <f>(SUM($AA$18:$AA$29)-SUM($AA$36,$AA$42,$AA$48,$AA$54,$AA$60,$AA$66,$AA$72:$AA$79))*Parameters!$B$37/12</f>
        <v>11436.73774725808</v>
      </c>
      <c r="J81" s="46">
        <f>(SUM($AA$18:$AA$29)-SUM($AA$36,$AA$42,$AA$48,$AA$54,$AA$60,$AA$66,$AA$72:$AA$79))*Parameters!$B$37/12</f>
        <v>11436.73774725808</v>
      </c>
      <c r="K81" s="46">
        <f>(SUM($AA$18:$AA$29)-SUM($AA$36,$AA$42,$AA$48,$AA$54,$AA$60,$AA$66,$AA$72:$AA$79))*Parameters!$B$37/12</f>
        <v>11436.73774725808</v>
      </c>
      <c r="L81" s="46">
        <f>(SUM($AA$18:$AA$29)-SUM($AA$36,$AA$42,$AA$48,$AA$54,$AA$60,$AA$66,$AA$72:$AA$79))*Parameters!$B$37/12</f>
        <v>11436.73774725808</v>
      </c>
      <c r="M81" s="46">
        <f>(SUM($AA$18:$AA$29)-SUM($AA$36,$AA$42,$AA$48,$AA$54,$AA$60,$AA$66,$AA$72:$AA$79))*Parameters!$B$37/12</f>
        <v>11436.73774725808</v>
      </c>
      <c r="N81" s="46">
        <f>(SUM($AA$18:$AA$29)-SUM($AA$36,$AA$42,$AA$48,$AA$54,$AA$60,$AA$66,$AA$72:$AA$79))*Parameters!$B$37/12</f>
        <v>11436.73774725808</v>
      </c>
      <c r="O81" s="46">
        <f>(SUM($AA$18:$AA$29)-SUM($AA$36,$AA$42,$AA$48,$AA$54,$AA$60,$AA$66,$AA$72:$AA$79))*Parameters!$B$37/12</f>
        <v>11436.73774725808</v>
      </c>
      <c r="P81" s="46">
        <f>(SUM($AA$18:$AA$29)-SUM($AA$36,$AA$42,$AA$48,$AA$54,$AA$60,$AA$66,$AA$72:$AA$79))*Parameters!$B$37/12</f>
        <v>11436.73774725808</v>
      </c>
      <c r="Q81" s="46">
        <f>(SUM($AA$18:$AA$29)-SUM($AA$36,$AA$42,$AA$48,$AA$54,$AA$60,$AA$66,$AA$72:$AA$79))*Parameters!$B$37/12</f>
        <v>11436.73774725808</v>
      </c>
      <c r="R81" s="46">
        <f>(SUM($AA$18:$AA$29)-SUM($AA$36,$AA$42,$AA$48,$AA$54,$AA$60,$AA$66,$AA$72:$AA$79))*Parameters!$B$37/12</f>
        <v>11436.73774725808</v>
      </c>
      <c r="S81" s="46">
        <f>(SUM($AA$18:$AA$29)-SUM($AA$36,$AA$42,$AA$48,$AA$54,$AA$60,$AA$66,$AA$72:$AA$79))*Parameters!$B$37/12</f>
        <v>11436.73774725808</v>
      </c>
      <c r="T81" s="46">
        <f>(SUM($AA$18:$AA$29)-SUM($AA$36,$AA$42,$AA$48,$AA$54,$AA$60,$AA$66,$AA$72:$AA$79))*Parameters!$B$37/12</f>
        <v>11436.73774725808</v>
      </c>
      <c r="U81" s="46">
        <f>(SUM($AA$18:$AA$29)-SUM($AA$36,$AA$42,$AA$48,$AA$54,$AA$60,$AA$66,$AA$72:$AA$79))*Parameters!$B$37/12</f>
        <v>11436.73774725808</v>
      </c>
      <c r="V81" s="46">
        <f>(SUM($AA$18:$AA$29)-SUM($AA$36,$AA$42,$AA$48,$AA$54,$AA$60,$AA$66,$AA$72:$AA$79))*Parameters!$B$37/12</f>
        <v>11436.73774725808</v>
      </c>
      <c r="W81" s="46">
        <f>(SUM($AA$18:$AA$29)-SUM($AA$36,$AA$42,$AA$48,$AA$54,$AA$60,$AA$66,$AA$72:$AA$79))*Parameters!$B$37/12</f>
        <v>11436.73774725808</v>
      </c>
      <c r="X81" s="46">
        <f>(SUM($AA$18:$AA$29)-SUM($AA$36,$AA$42,$AA$48,$AA$54,$AA$60,$AA$66,$AA$72:$AA$79))*Parameters!$B$37/12</f>
        <v>11436.73774725808</v>
      </c>
      <c r="Y81" s="46">
        <f>(SUM($AA$18:$AA$29)-SUM($AA$36,$AA$42,$AA$48,$AA$54,$AA$60,$AA$66,$AA$72:$AA$79))*Parameters!$B$37/12</f>
        <v>11436.73774725808</v>
      </c>
      <c r="Z81" s="46">
        <f>SUMIF($B$13:$Y$13,"Yes",B81:Y81)</f>
        <v>148677.590714355</v>
      </c>
      <c r="AA81" s="46">
        <f>SUM(B81:M81)</f>
        <v>137240.8529670969</v>
      </c>
      <c r="AB81" s="46">
        <f>SUM(B81:Y81)</f>
        <v>274481.7059341938</v>
      </c>
    </row>
    <row r="82" spans="1:30">
      <c r="A82" s="16" t="s">
        <v>52</v>
      </c>
      <c r="B82" s="46">
        <f>SUM(B83:B87)</f>
        <v>43.23299888517279</v>
      </c>
      <c r="C82" s="46">
        <f>SUM(C83:C87)</f>
        <v>43.23299888517279</v>
      </c>
      <c r="D82" s="46">
        <f>SUM(D83:D87)</f>
        <v>43.23299888517279</v>
      </c>
      <c r="E82" s="46">
        <f>SUM(E83:E87)</f>
        <v>43.23299888517279</v>
      </c>
      <c r="F82" s="46">
        <f>SUM(F83:F87)</f>
        <v>43.23299888517279</v>
      </c>
      <c r="G82" s="46">
        <f>SUM(G83:G87)</f>
        <v>43.23299888517279</v>
      </c>
      <c r="H82" s="46">
        <f>SUM(H83:H87)</f>
        <v>43.23299888517279</v>
      </c>
      <c r="I82" s="46">
        <f>SUM(I83:I87)</f>
        <v>43.23299888517279</v>
      </c>
      <c r="J82" s="46">
        <f>SUM(J83:J87)</f>
        <v>43.23299888517279</v>
      </c>
      <c r="K82" s="46">
        <f>SUM(K83:K87)</f>
        <v>43.23299888517279</v>
      </c>
      <c r="L82" s="46">
        <f>SUM(L83:L87)</f>
        <v>43.23299888517279</v>
      </c>
      <c r="M82" s="46">
        <f>SUM(M83:M87)</f>
        <v>43.23299888517279</v>
      </c>
      <c r="N82" s="46">
        <f>SUM(N83:N87)</f>
        <v>43.23299888517279</v>
      </c>
      <c r="O82" s="46">
        <f>SUM(O83:O87)</f>
        <v>43.23299888517279</v>
      </c>
      <c r="P82" s="46">
        <f>SUM(P83:P87)</f>
        <v>43.23299888517279</v>
      </c>
      <c r="Q82" s="46">
        <f>SUM(Q83:Q87)</f>
        <v>43.23299888517279</v>
      </c>
      <c r="R82" s="46">
        <f>SUM(R83:R87)</f>
        <v>43.23299888517279</v>
      </c>
      <c r="S82" s="46">
        <f>SUM(S83:S87)</f>
        <v>43.23299888517279</v>
      </c>
      <c r="T82" s="46">
        <f>SUM(T83:T87)</f>
        <v>43.23299888517279</v>
      </c>
      <c r="U82" s="46">
        <f>SUM(U83:U87)</f>
        <v>43.23299888517279</v>
      </c>
      <c r="V82" s="46">
        <f>SUM(V83:V87)</f>
        <v>43.23299888517279</v>
      </c>
      <c r="W82" s="46">
        <f>SUM(W83:W87)</f>
        <v>43.23299888517279</v>
      </c>
      <c r="X82" s="46">
        <f>SUM(X83:X87)</f>
        <v>43.23299888517279</v>
      </c>
      <c r="Y82" s="46">
        <f>SUM(Y83:Y87)</f>
        <v>43.23299888517279</v>
      </c>
      <c r="Z82" s="46">
        <f>SUMIF($B$13:$Y$13,"Yes",B82:Y82)</f>
        <v>562.0289855072463</v>
      </c>
      <c r="AA82" s="46">
        <f>SUM(B82:M82)</f>
        <v>518.7959866220734</v>
      </c>
      <c r="AB82" s="46">
        <f>SUM(B82:Y82)</f>
        <v>1037.591973244147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43.23299888517279</v>
      </c>
      <c r="C84" s="46">
        <f>IF(Calculations!$E24&gt;COUNT(Output!$B$35:C$35),Calculations!$B24,IF(Calculations!$E24=COUNT(Output!$B$35:C$35),Inputs!$B57-Calculations!$C24*(Calculations!$E24-1)+Calculations!$D24,0))</f>
        <v>43.23299888517279</v>
      </c>
      <c r="D84" s="46">
        <f>IF(Calculations!$E24&gt;COUNT(Output!$B$35:D$35),Calculations!$B24,IF(Calculations!$E24=COUNT(Output!$B$35:D$35),Inputs!$B57-Calculations!$C24*(Calculations!$E24-1)+Calculations!$D24,0))</f>
        <v>43.23299888517279</v>
      </c>
      <c r="E84" s="46">
        <f>IF(Calculations!$E24&gt;COUNT(Output!$B$35:E$35),Calculations!$B24,IF(Calculations!$E24=COUNT(Output!$B$35:E$35),Inputs!$B57-Calculations!$C24*(Calculations!$E24-1)+Calculations!$D24,0))</f>
        <v>43.23299888517279</v>
      </c>
      <c r="F84" s="46">
        <f>IF(Calculations!$E24&gt;COUNT(Output!$B$35:F$35),Calculations!$B24,IF(Calculations!$E24=COUNT(Output!$B$35:F$35),Inputs!$B57-Calculations!$C24*(Calculations!$E24-1)+Calculations!$D24,0))</f>
        <v>43.23299888517279</v>
      </c>
      <c r="G84" s="46">
        <f>IF(Calculations!$E24&gt;COUNT(Output!$B$35:G$35),Calculations!$B24,IF(Calculations!$E24=COUNT(Output!$B$35:G$35),Inputs!$B57-Calculations!$C24*(Calculations!$E24-1)+Calculations!$D24,0))</f>
        <v>43.23299888517279</v>
      </c>
      <c r="H84" s="46">
        <f>IF(Calculations!$E24&gt;COUNT(Output!$B$35:H$35),Calculations!$B24,IF(Calculations!$E24=COUNT(Output!$B$35:H$35),Inputs!$B57-Calculations!$C24*(Calculations!$E24-1)+Calculations!$D24,0))</f>
        <v>43.23299888517279</v>
      </c>
      <c r="I84" s="46">
        <f>IF(Calculations!$E24&gt;COUNT(Output!$B$35:I$35),Calculations!$B24,IF(Calculations!$E24=COUNT(Output!$B$35:I$35),Inputs!$B57-Calculations!$C24*(Calculations!$E24-1)+Calculations!$D24,0))</f>
        <v>43.23299888517279</v>
      </c>
      <c r="J84" s="46">
        <f>IF(Calculations!$E24&gt;COUNT(Output!$B$35:J$35),Calculations!$B24,IF(Calculations!$E24=COUNT(Output!$B$35:J$35),Inputs!$B57-Calculations!$C24*(Calculations!$E24-1)+Calculations!$D24,0))</f>
        <v>43.23299888517279</v>
      </c>
      <c r="K84" s="46">
        <f>IF(Calculations!$E24&gt;COUNT(Output!$B$35:K$35),Calculations!$B24,IF(Calculations!$E24=COUNT(Output!$B$35:K$35),Inputs!$B57-Calculations!$C24*(Calculations!$E24-1)+Calculations!$D24,0))</f>
        <v>43.23299888517279</v>
      </c>
      <c r="L84" s="46">
        <f>IF(Calculations!$E24&gt;COUNT(Output!$B$35:L$35),Calculations!$B24,IF(Calculations!$E24=COUNT(Output!$B$35:L$35),Inputs!$B57-Calculations!$C24*(Calculations!$E24-1)+Calculations!$D24,0))</f>
        <v>43.23299888517279</v>
      </c>
      <c r="M84" s="46">
        <f>IF(Calculations!$E24&gt;COUNT(Output!$B$35:M$35),Calculations!$B24,IF(Calculations!$E24=COUNT(Output!$B$35:M$35),Inputs!$B57-Calculations!$C24*(Calculations!$E24-1)+Calculations!$D24,0))</f>
        <v>43.23299888517279</v>
      </c>
      <c r="N84" s="46">
        <f>IF(Calculations!$E24&gt;COUNT(Output!$B$35:N$35),Calculations!$B24,IF(Calculations!$E24=COUNT(Output!$B$35:N$35),Inputs!$B57-Calculations!$C24*(Calculations!$E24-1)+Calculations!$D24,0))</f>
        <v>43.23299888517279</v>
      </c>
      <c r="O84" s="46">
        <f>IF(Calculations!$E24&gt;COUNT(Output!$B$35:O$35),Calculations!$B24,IF(Calculations!$E24=COUNT(Output!$B$35:O$35),Inputs!$B57-Calculations!$C24*(Calculations!$E24-1)+Calculations!$D24,0))</f>
        <v>43.23299888517279</v>
      </c>
      <c r="P84" s="46">
        <f>IF(Calculations!$E24&gt;COUNT(Output!$B$35:P$35),Calculations!$B24,IF(Calculations!$E24=COUNT(Output!$B$35:P$35),Inputs!$B57-Calculations!$C24*(Calculations!$E24-1)+Calculations!$D24,0))</f>
        <v>43.23299888517279</v>
      </c>
      <c r="Q84" s="46">
        <f>IF(Calculations!$E24&gt;COUNT(Output!$B$35:Q$35),Calculations!$B24,IF(Calculations!$E24=COUNT(Output!$B$35:Q$35),Inputs!$B57-Calculations!$C24*(Calculations!$E24-1)+Calculations!$D24,0))</f>
        <v>43.23299888517279</v>
      </c>
      <c r="R84" s="46">
        <f>IF(Calculations!$E24&gt;COUNT(Output!$B$35:R$35),Calculations!$B24,IF(Calculations!$E24=COUNT(Output!$B$35:R$35),Inputs!$B57-Calculations!$C24*(Calculations!$E24-1)+Calculations!$D24,0))</f>
        <v>43.23299888517279</v>
      </c>
      <c r="S84" s="46">
        <f>IF(Calculations!$E24&gt;COUNT(Output!$B$35:S$35),Calculations!$B24,IF(Calculations!$E24=COUNT(Output!$B$35:S$35),Inputs!$B57-Calculations!$C24*(Calculations!$E24-1)+Calculations!$D24,0))</f>
        <v>43.23299888517279</v>
      </c>
      <c r="T84" s="46">
        <f>IF(Calculations!$E24&gt;COUNT(Output!$B$35:T$35),Calculations!$B24,IF(Calculations!$E24=COUNT(Output!$B$35:T$35),Inputs!$B57-Calculations!$C24*(Calculations!$E24-1)+Calculations!$D24,0))</f>
        <v>43.23299888517279</v>
      </c>
      <c r="U84" s="46">
        <f>IF(Calculations!$E24&gt;COUNT(Output!$B$35:U$35),Calculations!$B24,IF(Calculations!$E24=COUNT(Output!$B$35:U$35),Inputs!$B57-Calculations!$C24*(Calculations!$E24-1)+Calculations!$D24,0))</f>
        <v>43.23299888517279</v>
      </c>
      <c r="V84" s="46">
        <f>IF(Calculations!$E24&gt;COUNT(Output!$B$35:V$35),Calculations!$B24,IF(Calculations!$E24=COUNT(Output!$B$35:V$35),Inputs!$B57-Calculations!$C24*(Calculations!$E24-1)+Calculations!$D24,0))</f>
        <v>43.23299888517279</v>
      </c>
      <c r="W84" s="46">
        <f>IF(Calculations!$E24&gt;COUNT(Output!$B$35:W$35),Calculations!$B24,IF(Calculations!$E24=COUNT(Output!$B$35:W$35),Inputs!$B57-Calculations!$C24*(Calculations!$E24-1)+Calculations!$D24,0))</f>
        <v>43.23299888517279</v>
      </c>
      <c r="X84" s="46">
        <f>IF(Calculations!$E24&gt;COUNT(Output!$B$35:X$35),Calculations!$B24,IF(Calculations!$E24=COUNT(Output!$B$35:X$35),Inputs!$B57-Calculations!$C24*(Calculations!$E24-1)+Calculations!$D24,0))</f>
        <v>43.23299888517279</v>
      </c>
      <c r="Y84" s="46">
        <f>IF(Calculations!$E24&gt;COUNT(Output!$B$35:Y$35),Calculations!$B24,IF(Calculations!$E24=COUNT(Output!$B$35:Y$35),Inputs!$B57-Calculations!$C24*(Calculations!$E24-1)+Calculations!$D24,0))</f>
        <v>43.23299888517279</v>
      </c>
      <c r="Z84" s="46">
        <f>SUMIF($B$13:$Y$13,"Yes",B84:Y84)</f>
        <v>562.0289855072463</v>
      </c>
      <c r="AA84" s="46">
        <f>SUM(B84:M84)</f>
        <v>518.7959866220734</v>
      </c>
      <c r="AB84" s="46">
        <f>SUM(B84:Y84)</f>
        <v>1037.591973244147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15612.34574614325</v>
      </c>
      <c r="C88" s="19">
        <f>SUM(C72:C82,C66,C60,C54,C48,C42,C36)</f>
        <v>15612.34574614325</v>
      </c>
      <c r="D88" s="19">
        <f>SUM(D72:D82,D66,D60,D54,D48,D42,D36)</f>
        <v>15324.34574614325</v>
      </c>
      <c r="E88" s="19">
        <f>SUM(E72:E82,E66,E60,E54,E48,E42,E36)</f>
        <v>93612.34574614326</v>
      </c>
      <c r="F88" s="19">
        <f>SUM(F72:F82,F66,F60,F54,F48,F42,F36)</f>
        <v>15612.34574614325</v>
      </c>
      <c r="G88" s="19">
        <f>SUM(G72:G82,G66,G60,G54,G48,G42,G36)</f>
        <v>28512.34574614325</v>
      </c>
      <c r="H88" s="19">
        <f>SUM(H72:H82,H66,H60,H54,H48,H42,H36)</f>
        <v>15612.34574614325</v>
      </c>
      <c r="I88" s="19">
        <f>SUM(I72:I82,I66,I60,I54,I48,I42,I36)</f>
        <v>15612.34574614325</v>
      </c>
      <c r="J88" s="19">
        <f>SUM(J72:J82,J66,J60,J54,J48,J42,J36)</f>
        <v>15324.34574614325</v>
      </c>
      <c r="K88" s="19">
        <f>SUM(K72:K82,K66,K60,K54,K48,K42,K36)</f>
        <v>93612.34574614326</v>
      </c>
      <c r="L88" s="19">
        <f>SUM(L72:L82,L66,L60,L54,L48,L42,L36)</f>
        <v>15612.34574614325</v>
      </c>
      <c r="M88" s="19">
        <f>SUM(M72:M82,M66,M60,M54,M48,M42,M36)</f>
        <v>78512.34574614324</v>
      </c>
      <c r="N88" s="19">
        <f>SUM(N72:N82,N66,N60,N54,N48,N42,N36)</f>
        <v>15612.34574614325</v>
      </c>
      <c r="O88" s="19">
        <f>SUM(O72:O82,O66,O60,O54,O48,O42,O36)</f>
        <v>15612.34574614325</v>
      </c>
      <c r="P88" s="19">
        <f>SUM(P72:P82,P66,P60,P54,P48,P42,P36)</f>
        <v>15324.34574614325</v>
      </c>
      <c r="Q88" s="19">
        <f>SUM(Q72:Q82,Q66,Q60,Q54,Q48,Q42,Q36)</f>
        <v>93612.34574614326</v>
      </c>
      <c r="R88" s="19">
        <f>SUM(R72:R82,R66,R60,R54,R48,R42,R36)</f>
        <v>15612.34574614325</v>
      </c>
      <c r="S88" s="19">
        <f>SUM(S72:S82,S66,S60,S54,S48,S42,S36)</f>
        <v>28512.34574614325</v>
      </c>
      <c r="T88" s="19">
        <f>SUM(T72:T82,T66,T60,T54,T48,T42,T36)</f>
        <v>15612.34574614325</v>
      </c>
      <c r="U88" s="19">
        <f>SUM(U72:U82,U66,U60,U54,U48,U42,U36)</f>
        <v>15612.34574614325</v>
      </c>
      <c r="V88" s="19">
        <f>SUM(V72:V82,V66,V60,V54,V48,V42,V36)</f>
        <v>15324.34574614325</v>
      </c>
      <c r="W88" s="19">
        <f>SUM(W72:W82,W66,W60,W54,W48,W42,W36)</f>
        <v>93612.34574614326</v>
      </c>
      <c r="X88" s="19">
        <f>SUM(X72:X82,X66,X60,X54,X48,X42,X36)</f>
        <v>15612.34574614325</v>
      </c>
      <c r="Y88" s="19">
        <f>SUM(Y72:Y82,Y66,Y60,Y54,Y48,Y42,Y36)</f>
        <v>78512.34574614324</v>
      </c>
      <c r="Z88" s="19">
        <f>SUMIF($B$13:$Y$13,"Yes",B88:Y88)</f>
        <v>434184.4946998623</v>
      </c>
      <c r="AA88" s="19">
        <f>SUM(B88:M88)</f>
        <v>418572.1489537191</v>
      </c>
      <c r="AB88" s="19">
        <f>SUM(B88:Y88)</f>
        <v>837144.2979074381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310000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288652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388652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25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80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10000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93</v>
      </c>
    </row>
    <row r="41" spans="1:48">
      <c r="A41" s="55" t="s">
        <v>125</v>
      </c>
      <c r="B41" s="140">
        <v>50000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420000</v>
      </c>
    </row>
    <row r="47" spans="1:48" customHeight="1" ht="30">
      <c r="A47" s="57" t="s">
        <v>133</v>
      </c>
      <c r="B47" s="161">
        <v>120000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284352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4000</v>
      </c>
      <c r="B57" s="157">
        <v>4300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103072</v>
      </c>
      <c r="C66" s="163">
        <v>98120</v>
      </c>
      <c r="D66" s="49">
        <f>INDEX(Parameters!$D$79:$D$90,MATCH(Inputs!A66,Parameters!$C$79:$C$90,0))</f>
        <v>11</v>
      </c>
    </row>
    <row r="67" spans="1:48">
      <c r="A67" s="143" t="s">
        <v>153</v>
      </c>
      <c r="B67" s="157">
        <v>74455</v>
      </c>
      <c r="C67" s="165">
        <v>72189</v>
      </c>
      <c r="D67" s="49">
        <f>INDEX(Parameters!$D$79:$D$90,MATCH(Inputs!A67,Parameters!$C$79:$C$90,0))</f>
        <v>10</v>
      </c>
    </row>
    <row r="68" spans="1:48">
      <c r="A68" s="143" t="s">
        <v>154</v>
      </c>
      <c r="B68" s="157">
        <v>78075</v>
      </c>
      <c r="C68" s="165">
        <v>74180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37102</v>
      </c>
      <c r="C69" s="165">
        <v>36102</v>
      </c>
      <c r="D69" s="49">
        <f>INDEX(Parameters!$D$79:$D$90,MATCH(Inputs!A69,Parameters!$C$79:$C$90,0))</f>
        <v>8</v>
      </c>
    </row>
    <row r="70" spans="1:48">
      <c r="A70" s="143" t="s">
        <v>156</v>
      </c>
      <c r="B70" s="157">
        <v>111140</v>
      </c>
      <c r="C70" s="165">
        <v>109160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71140</v>
      </c>
      <c r="C71" s="167">
        <v>68050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295302.1324177423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7199.999999999998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107812.5</v>
      </c>
      <c r="Q14" s="63">
        <f>IFERROR(D14*INDEX(Parameters!$A$22:$P$29,MATCH(Calculations!$A14,Parameters!$A$22:$A$29,0),MATCH(Parameters!$L$22,Parameters!$A$22:$P$22,0))*IF(Inputs!I19="Always",1,IF(Inputs!I19="Sometimes",0.5,0))*365,"")</f>
        <v>22812.5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7500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100800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</v>
      </c>
      <c r="R15" s="64">
        <f>IFERROR(D15*INDEX(Parameters!$A$22:$P$29,MATCH(Calculations!$A15,Parameters!$A$22:$A$29,0),MATCH(Parameters!$M$22,Parameters!$A$22:$P$22,0)),"")</f>
        <v>1920</v>
      </c>
      <c r="S15" s="64">
        <f>IFERROR(D15*INDEX(Parameters!$A$22:$P$29,MATCH(Calculations!$A15,Parameters!$A$22:$A$29,0),MATCH(Parameters!$N$22,Parameters!$A$22:$P$22,0)),"")</f>
        <v>1600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-7572.380952380953</v>
      </c>
      <c r="C23" s="75">
        <f>IF(Inputs!B56&gt;0,(Inputs!A56-Inputs!B56)/(DATE(YEAR(Inputs!$B$76),MONTH(Inputs!$B$76),DAY(Inputs!$B$76))-DATE(YEAR(Inputs!C56),MONTH(Inputs!C56),DAY(Inputs!C56)))*30,0)</f>
        <v>-9405.714285714286</v>
      </c>
      <c r="D23" s="75">
        <f>IF(Inputs!B56&gt;0,Inputs!A56*0.22/12,0)</f>
        <v>1833.333333333333</v>
      </c>
      <c r="E23" s="75">
        <f>IFERROR(ROUNDUP(Inputs!B56/C23,0),0)</f>
        <v>-31</v>
      </c>
    </row>
    <row r="24" spans="1:52">
      <c r="A24" s="46">
        <f>Inputs!A57</f>
        <v>4000</v>
      </c>
      <c r="B24" s="46">
        <f>SUM(C24:D24)</f>
        <v>43.23299888517279</v>
      </c>
      <c r="C24" s="46">
        <f>IF(Inputs!B57&gt;0,(Inputs!A57-Inputs!B57)/(DATE(YEAR(Inputs!$B$76),MONTH(Inputs!$B$76),DAY(Inputs!$B$76))-DATE(YEAR(Inputs!C57),MONTH(Inputs!C57),DAY(Inputs!C57)))*30,0)</f>
        <v>-30.10033444816053</v>
      </c>
      <c r="D24" s="46">
        <f>IF(Inputs!B57&gt;0,Inputs!A57*0.22/12,0)</f>
        <v>73.33333333333333</v>
      </c>
      <c r="E24" s="46">
        <f>IFERROR(ROUNDUP(Inputs!B57/B24,0),0)</f>
        <v>100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43146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163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164</v>
      </c>
      <c r="G34" s="128">
        <f>IF(Inputs!B80="","",DATE(YEAR(Inputs!B80),MONTH(Inputs!B80),DAY(Inputs!B80)))</f>
        <v>43146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317</v>
      </c>
      <c r="I52" s="12" t="s">
        <v>129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109</v>
      </c>
      <c r="H78" s="12" t="s">
        <v>129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169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127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