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<sst xmlns="http://schemas.openxmlformats.org/spreadsheetml/2006/main" uniqueCount="377">
  <si>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</si>
  <si>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</si>
  <si>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</si>
  <si>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</si>
  <si>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</si>
  <si>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</si>
  <si>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</si>
  <si>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</si>
  <si>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</si>
  <si>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</si>
  <si>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</si>
  <si>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</si>
  <si>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</si>
  <si>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</si>
  <si>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</si>
  <si>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</si>
  <si>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</si>
  <si>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</si>
  <si>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</si>
  <si>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</si>
  <si>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</si>
  <si>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</si>
  <si>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</si>
  <si>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</si>
  <si>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</si>
  <si>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</si>
  <si>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</si>
  <si>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</si>
  <si>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</si>
  <si>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</si>
  <si>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</si>
  <si>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</si>
  <si>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</si>
  <si>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</si>
  <si>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</si>
  <si>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</si>
  <si>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</si>
  <si>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</si>
  <si>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</si>
  <si>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</si>
  <si>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</si>
  <si>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</si>
  <si>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</si>
  <si>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</si>
  <si>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</si>
  <si>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</si>
  <si>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</si>
  <si>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</si>
  <si>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</si>
  <si>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</si>
  <si>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</si>
  <si>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</si>
  <si>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</si>
  <si>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</si>
  <si>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</si>
  <si>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</si>
  <si>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</si>
  <si>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</si>
  <si>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</si>
  <si>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</si>
  <si>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</si>
  <si>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</si>
  <si>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</si>
  <si>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</si>
  <si>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</si>
  <si>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</si>
  <si>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</si>
  <si>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</si>
  <si>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</si>
  <si>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</si>
  <si>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</si>
  <si>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</si>
  <si>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</si>
  <si>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</si>
  <si>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</si>
  <si>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</si>
  <si>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</si>
  <si>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</si>
  <si>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</si>
  <si>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</si>
  <si>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</si>
  <si>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</si>
  <si>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</si>
  <si>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</si>
  <si>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</si>
  <si>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</si>
  <si>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</si>
  <si>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</si>
  <si>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</si>
  <si>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Tea</t>
  </si>
  <si>
    <t>NGO</t>
  </si>
  <si>
    <t>Yes only manure</t>
  </si>
  <si>
    <t>No</t>
  </si>
  <si>
    <t>no planting_trees are mature</t>
  </si>
  <si>
    <t>Coffee</t>
  </si>
  <si>
    <t>every month</t>
  </si>
  <si>
    <t>Bananas</t>
  </si>
  <si>
    <t>Yes both manure and inorganic</t>
  </si>
  <si>
    <t>Yes</t>
  </si>
  <si>
    <t>Yes using a diesel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</si>
  <si>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</si>
  <si>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</si>
  <si>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</si>
  <si>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</si>
  <si>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</si>
  <si>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</si>
  <si>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</si>
  <si>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</si>
  <si>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</si>
  <si>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</si>
  <si>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</si>
  <si>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</si>
  <si>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</si>
  <si>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</si>
  <si>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</si>
  <si>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Chicken_broilers</t>
  </si>
  <si>
    <t>Never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</si>
  <si>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</si>
  <si>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</si>
  <si>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</si>
  <si>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</si>
  <si>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</si>
  <si>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</si>
  <si>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</si>
  <si>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</si>
  <si>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</si>
  <si>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</si>
  <si>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</si>
  <si>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</si>
  <si>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</si>
  <si>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</si>
  <si>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</si>
  <si>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</si>
  <si>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</si>
  <si>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</si>
  <si>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</si>
  <si>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</si>
  <si>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</si>
  <si>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</si>
  <si>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</si>
  <si>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</si>
  <si>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</si>
  <si>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</si>
  <si>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</si>
  <si>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</si>
  <si>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</si>
  <si>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</si>
  <si>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</si>
  <si>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</si>
  <si>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</si>
  <si>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8/1/2014</t>
  </si>
  <si>
    <t>Equity bank</t>
  </si>
  <si>
    <t>Cleared</t>
  </si>
  <si>
    <t>10/3/2015</t>
  </si>
  <si>
    <t>Equity Bank</t>
  </si>
  <si>
    <t>cleeared</t>
  </si>
  <si>
    <t>7/8/2017</t>
  </si>
  <si>
    <t>Equity</t>
  </si>
  <si>
    <t>well serviced</t>
  </si>
  <si>
    <t>2/26/2016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</si>
  <si>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</si>
  <si>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</si>
  <si>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</si>
  <si>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</si>
  <si>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</si>
  <si>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</si>
  <si>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</si>
  <si>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</si>
  <si>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</si>
  <si>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</si>
  <si>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</si>
  <si>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</si>
  <si>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2018/1/4</t>
  </si>
  <si>
    <t>Loan terms</t>
  </si>
  <si>
    <t>Expected disbursement date</t>
  </si>
  <si>
    <t>Expected first repayment date</t>
  </si>
  <si>
    <t>2018/2/16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</si>
  <si>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</si>
  <si>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</si>
  <si>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</si>
  <si>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</si>
  <si>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</si>
  <si>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</si>
  <si>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</si>
  <si>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</si>
  <si>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</si>
  <si>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</si>
  <si>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</si>
  <si>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</si>
  <si>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</si>
  <si>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</si>
  <si>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</si>
  <si>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</si>
  <si>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</si>
  <si>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</si>
  <si>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</si>
  <si>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</si>
  <si>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</si>
  <si>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</si>
  <si>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</si>
  <si>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</si>
  <si>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</si>
  <si>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</si>
  <si>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</si>
  <si>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</si>
  <si>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</si>
  <si>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</si>
  <si>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</si>
  <si>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</si>
  <si>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</si>
  <si>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</si>
  <si>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</si>
  <si>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</si>
  <si>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</si>
  <si>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</si>
  <si>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</si>
  <si>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</si>
  <si>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</si>
  <si>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</si>
  <si>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</si>
  <si>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</si>
  <si>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</si>
  <si>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</si>
  <si>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</si>
  <si>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</si>
  <si>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</si>
  <si>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</si>
  <si>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</si>
  <si>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</si>
  <si>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</si>
  <si>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</si>
  <si>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</si>
  <si>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</si>
  <si>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</si>
  <si>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</si>
  <si>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</si>
  <si>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</si>
  <si>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</si>
  <si>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</si>
  <si>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</si>
  <si>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</si>
  <si>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</si>
  <si>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</si>
  <si>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</si>
  <si>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</si>
  <si>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</si>
  <si>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</si>
  <si>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</si>
  <si>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</si>
  <si>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</si>
  <si>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</si>
  <si>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</si>
  <si>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</si>
  <si>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</si>
  <si>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</si>
  <si>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</si>
  <si>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</si>
  <si>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</si>
  <si>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</si>
  <si>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</si>
  <si>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</si>
  <si>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</si>
  <si>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</si>
  <si>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</si>
  <si>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</si>
  <si>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</si>
  <si>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</si>
  <si>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</si>
  <si>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</si>
  <si>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</si>
  <si>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</si>
  <si>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</si>
  <si>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</si>
  <si>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</si>
  <si>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</si>
  <si>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</si>
  <si>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</si>
  <si>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</si>
  <si>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</si>
  <si>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</si>
  <si>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</si>
  <si>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</si>
  <si>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</si>
  <si>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</si>
  <si>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</si>
  <si>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</si>
  <si>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</si>
  <si>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</si>
  <si>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</si>
  <si>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</si>
  <si>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</si>
  <si>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</si>
  <si>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</si>
  <si>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</si>
  <si>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</si>
  <si>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</si>
  <si>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</si>
  <si>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</si>
  <si>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</si>
  <si>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</si>
  <si>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</si>
  <si>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</si>
  <si>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</si>
  <si>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</si>
  <si>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</si>
  <si>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</si>
  <si>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</si>
  <si>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</si>
  <si>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</si>
  <si>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</si>
  <si>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</si>
  <si>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</si>
  <si>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</si>
  <si>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</si>
  <si>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</si>
  <si>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</si>
  <si>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</si>
  <si>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</si>
  <si>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</si>
  <si>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</si>
  <si>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</si>
  <si>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</si>
  <si>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</si>
  <si>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</si>
  <si>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</si>
  <si>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</si>
  <si>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</si>
  <si>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</si>
  <si>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</si>
  <si>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</si>
  <si>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</si>
  <si>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</si>
  <si>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</si>
  <si>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</si>
  <si>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</si>
  <si>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</si>
  <si>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</si>
  <si>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</si>
  <si>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</si>
  <si>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</si>
  <si>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</si>
  <si>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</si>
  <si>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</si>
  <si>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</si>
  <si>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</si>
  <si>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</si>
  <si>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</si>
  <si>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</si>
  <si>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</si>
  <si>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</si>
  <si>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</si>
  <si>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</si>
  <si>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</si>
  <si>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</si>
  <si>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</si>
  <si>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</si>
  <si>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</si>
  <si>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</si>
  <si>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</si>
  <si>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</si>
  <si>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</si>
  <si>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</si>
  <si>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</si>
  <si>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</si>
  <si>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</si>
  <si>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</si>
  <si>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</si>
  <si>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</si>
  <si>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</si>
  <si>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</si>
  <si>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</si>
  <si>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without the use of a pump</t>
  </si>
  <si>
    <t>Shop_certified variety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</si>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</sst>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Tea, Coffee, Bananas,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Chicken_layers, Chicken: sale of ex layers</v>
      </c>
    </row>
    <row r="8" spans="1:7">
      <c r="B8" s="1" t="s">
        <v>4</v>
      </c>
      <c r="C8" t="str">
        <f>IF(Inputs!B29="","None",Inputs!B29)</f>
        <v>Teacher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0.09626322163768183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0.01197089947089947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906497.5703515506</v>
      </c>
    </row>
    <row r="18" spans="1:7">
      <c r="B18" s="1" t="s">
        <v>12</v>
      </c>
      <c r="C18" s="36">
        <f>MIN(Output!B6:M6)</f>
        <v>-73094.79161252349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150738.5417208099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420000</v>
      </c>
    </row>
    <row r="25" spans="1:7">
      <c r="B25" s="1" t="s">
        <v>18</v>
      </c>
      <c r="C25" s="36">
        <f>MAX(Inputs!A56:A60)</f>
        <v>1300000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116251.103009836</v>
      </c>
      <c r="C6" s="51">
        <f>C30-C88</f>
        <v>26905.20838747657</v>
      </c>
      <c r="D6" s="51">
        <f>D30-D88</f>
        <v>25720.56593094347</v>
      </c>
      <c r="E6" s="51">
        <f>E30-E88</f>
        <v>23351.28101787739</v>
      </c>
      <c r="F6" s="51">
        <f>F30-F88</f>
        <v>20981.99610481132</v>
      </c>
      <c r="G6" s="51">
        <f>G30-G88</f>
        <v>26905.20838747657</v>
      </c>
      <c r="H6" s="51">
        <f>H30-H88</f>
        <v>-73094.79161252349</v>
      </c>
      <c r="I6" s="51">
        <f>I30-I88</f>
        <v>147184.6143512107</v>
      </c>
      <c r="J6" s="51">
        <f>J30-J88</f>
        <v>144815.3294381446</v>
      </c>
      <c r="K6" s="51">
        <f>K30-K88</f>
        <v>147184.6143512107</v>
      </c>
      <c r="L6" s="51">
        <f>L30-L88</f>
        <v>149553.8992642768</v>
      </c>
      <c r="M6" s="51">
        <f>M30-M88</f>
        <v>150738.5417208099</v>
      </c>
      <c r="N6" s="51">
        <f>N30-N88</f>
        <v>240084.4363431693</v>
      </c>
      <c r="O6" s="51">
        <f>O30-O88</f>
        <v>150738.5417208099</v>
      </c>
      <c r="P6" s="51">
        <f>P30-P88</f>
        <v>149553.8992642768</v>
      </c>
      <c r="Q6" s="51">
        <f>Q30-Q88</f>
        <v>147184.6143512107</v>
      </c>
      <c r="R6" s="51">
        <f>R30-R88</f>
        <v>144815.3294381446</v>
      </c>
      <c r="S6" s="51">
        <f>S30-S88</f>
        <v>225738.5417208099</v>
      </c>
      <c r="T6" s="51">
        <f>T30-T88</f>
        <v>150738.5417208099</v>
      </c>
      <c r="U6" s="51">
        <f>U30-U88</f>
        <v>147184.6143512107</v>
      </c>
      <c r="V6" s="51">
        <f>V30-V88</f>
        <v>144815.3294381446</v>
      </c>
      <c r="W6" s="51">
        <f>W30-W88</f>
        <v>147184.6143512107</v>
      </c>
      <c r="X6" s="51">
        <f>X30-X88</f>
        <v>149553.8992642768</v>
      </c>
      <c r="Y6" s="51">
        <f>Y30-Y88</f>
        <v>150738.5417208099</v>
      </c>
      <c r="Z6" s="51">
        <f>SUMIF($B$13:$Y$13,"Yes",B6:Y6)</f>
        <v>1146582.00669472</v>
      </c>
      <c r="AA6" s="51">
        <f>AA30-AA88</f>
        <v>906497.5703515504</v>
      </c>
      <c r="AB6" s="51">
        <f>AB30-AB88</f>
        <v>2854828.474036437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38940</v>
      </c>
      <c r="I7" s="80">
        <f>IF(ISERROR(VLOOKUP(MONTH(I5),Inputs!$D$66:$D$71,1,0)),"",INDEX(Inputs!$B$66:$B$71,MATCH(MONTH(Output!I5),Inputs!$D$66:$D$71,0))-INDEX(Inputs!$C$66:$C$71,MATCH(MONTH(Output!I5),Inputs!$D$66:$D$71,0)))</f>
        <v>10301</v>
      </c>
      <c r="J7" s="80">
        <f>IF(ISERROR(VLOOKUP(MONTH(J5),Inputs!$D$66:$D$71,1,0)),"",INDEX(Inputs!$B$66:$B$71,MATCH(MONTH(Output!J5),Inputs!$D$66:$D$71,0))-INDEX(Inputs!$C$66:$C$71,MATCH(MONTH(Output!J5),Inputs!$D$66:$D$71,0)))</f>
        <v>12580</v>
      </c>
      <c r="K7" s="80">
        <f>IF(ISERROR(VLOOKUP(MONTH(K5),Inputs!$D$66:$D$71,1,0)),"",INDEX(Inputs!$B$66:$B$71,MATCH(MONTH(Output!K5),Inputs!$D$66:$D$71,0))-INDEX(Inputs!$C$66:$C$71,MATCH(MONTH(Output!K5),Inputs!$D$66:$D$71,0)))</f>
        <v>17000</v>
      </c>
      <c r="L7" s="80">
        <f>IF(ISERROR(VLOOKUP(MONTH(L5),Inputs!$D$66:$D$71,1,0)),"",INDEX(Inputs!$B$66:$B$71,MATCH(MONTH(Output!L5),Inputs!$D$66:$D$71,0))-INDEX(Inputs!$C$66:$C$71,MATCH(MONTH(Output!L5),Inputs!$D$66:$D$71,0)))</f>
        <v>12790</v>
      </c>
      <c r="M7" s="80">
        <f>IF(ISERROR(VLOOKUP(MONTH(M5),Inputs!$D$66:$D$71,1,0)),"",INDEX(Inputs!$B$66:$B$71,MATCH(MONTH(Output!M5),Inputs!$D$66:$D$71,0))-INDEX(Inputs!$C$66:$C$71,MATCH(MONTH(Output!M5),Inputs!$D$66:$D$71,0)))</f>
        <v>10031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38940</v>
      </c>
      <c r="U7" s="80">
        <f>IF(ISERROR(VLOOKUP(MONTH(U5),Inputs!$D$66:$D$71,1,0)),"",INDEX(Inputs!$B$66:$B$71,MATCH(MONTH(Output!U5),Inputs!$D$66:$D$71,0))-INDEX(Inputs!$C$66:$C$71,MATCH(MONTH(Output!U5),Inputs!$D$66:$D$71,0)))</f>
        <v>10301</v>
      </c>
      <c r="V7" s="80">
        <f>IF(ISERROR(VLOOKUP(MONTH(V5),Inputs!$D$66:$D$71,1,0)),"",INDEX(Inputs!$B$66:$B$71,MATCH(MONTH(Output!V5),Inputs!$D$66:$D$71,0))-INDEX(Inputs!$C$66:$C$71,MATCH(MONTH(Output!V5),Inputs!$D$66:$D$71,0)))</f>
        <v>12580</v>
      </c>
      <c r="W7" s="80">
        <f>IF(ISERROR(VLOOKUP(MONTH(W5),Inputs!$D$66:$D$71,1,0)),"",INDEX(Inputs!$B$66:$B$71,MATCH(MONTH(Output!W5),Inputs!$D$66:$D$71,0))-INDEX(Inputs!$C$66:$C$71,MATCH(MONTH(Output!W5),Inputs!$D$66:$D$71,0)))</f>
        <v>17000</v>
      </c>
      <c r="X7" s="80">
        <f>IF(ISERROR(VLOOKUP(MONTH(X5),Inputs!$D$66:$D$71,1,0)),"",INDEX(Inputs!$B$66:$B$71,MATCH(MONTH(Output!X5),Inputs!$D$66:$D$71,0))-INDEX(Inputs!$C$66:$C$71,MATCH(MONTH(Output!X5),Inputs!$D$66:$D$71,0)))</f>
        <v>12790</v>
      </c>
      <c r="Y7" s="80">
        <f>IF(ISERROR(VLOOKUP(MONTH(Y5),Inputs!$D$66:$D$71,1,0)),"",INDEX(Inputs!$B$66:$B$71,MATCH(MONTH(Output!Y5),Inputs!$D$66:$D$71,0))-INDEX(Inputs!$C$66:$C$71,MATCH(MONTH(Output!Y5),Inputs!$D$66:$D$71,0)))</f>
        <v>10031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216251.103009836</v>
      </c>
      <c r="C11" s="80">
        <f>C6+C9-C10</f>
        <v>16905.20838747657</v>
      </c>
      <c r="D11" s="80">
        <f>D6+D9-D10</f>
        <v>15720.56593094347</v>
      </c>
      <c r="E11" s="80">
        <f>E6+E9-E10</f>
        <v>13351.28101787739</v>
      </c>
      <c r="F11" s="80">
        <f>F6+F9-F10</f>
        <v>10981.99610481132</v>
      </c>
      <c r="G11" s="80">
        <f>G6+G9-G10</f>
        <v>16905.20838747657</v>
      </c>
      <c r="H11" s="80">
        <f>H6+H9-H10</f>
        <v>-83094.79161252349</v>
      </c>
      <c r="I11" s="80">
        <f>I6+I9-I10</f>
        <v>137184.6143512107</v>
      </c>
      <c r="J11" s="80">
        <f>J6+J9-J10</f>
        <v>134815.3294381446</v>
      </c>
      <c r="K11" s="80">
        <f>K6+K9-K10</f>
        <v>137184.6143512107</v>
      </c>
      <c r="L11" s="80">
        <f>L6+L9-L10</f>
        <v>139553.8992642768</v>
      </c>
      <c r="M11" s="80">
        <f>M6+M9-M10</f>
        <v>140738.5417208099</v>
      </c>
      <c r="N11" s="80">
        <f>N6+N9-N10</f>
        <v>230084.4363431693</v>
      </c>
      <c r="O11" s="80">
        <f>O6+O9-O10</f>
        <v>150738.5417208099</v>
      </c>
      <c r="P11" s="80">
        <f>P6+P9-P10</f>
        <v>149553.8992642768</v>
      </c>
      <c r="Q11" s="80">
        <f>Q6+Q9-Q10</f>
        <v>147184.6143512107</v>
      </c>
      <c r="R11" s="80">
        <f>R6+R9-R10</f>
        <v>144815.3294381446</v>
      </c>
      <c r="S11" s="80">
        <f>S6+S9-S10</f>
        <v>225738.5417208099</v>
      </c>
      <c r="T11" s="80">
        <f>T6+T9-T10</f>
        <v>150738.5417208099</v>
      </c>
      <c r="U11" s="80">
        <f>U6+U9-U10</f>
        <v>147184.6143512107</v>
      </c>
      <c r="V11" s="80">
        <f>V6+V9-V10</f>
        <v>144815.3294381446</v>
      </c>
      <c r="W11" s="80">
        <f>W6+W9-W10</f>
        <v>147184.6143512107</v>
      </c>
      <c r="X11" s="80">
        <f>X6+X9-X10</f>
        <v>149553.8992642768</v>
      </c>
      <c r="Y11" s="80">
        <f>Y6+Y9-Y10</f>
        <v>150738.5417208099</v>
      </c>
      <c r="Z11" s="85">
        <f>SUMIF($B$13:$Y$13,"Yes",B11:Y11)</f>
        <v>1126582.00669472</v>
      </c>
      <c r="AA11" s="80">
        <f>SUM(B11:M11)</f>
        <v>896497.5703515506</v>
      </c>
      <c r="AB11" s="46">
        <f>SUM(B11:Y11)</f>
        <v>2834828.474036435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0.04112580891910389</v>
      </c>
      <c r="D12" s="82">
        <f>IF(D13="Yes",IF(SUM($B$10:D10)/(SUM($B$6:D6)+SUM($B$9:D9))&lt;0,999.99,SUM($B$10:D10)/(SUM($B$6:D6)+SUM($B$9:D9))),"")</f>
        <v>0.07438348808098946</v>
      </c>
      <c r="E12" s="82">
        <f>IF(E13="Yes",IF(SUM($B$10:E10)/(SUM($B$6:E6)+SUM($B$9:E9))&lt;0,999.99,SUM($B$10:E10)/(SUM($B$6:E6)+SUM($B$9:E9))),"")</f>
        <v>0.1026595115603682</v>
      </c>
      <c r="F12" s="82">
        <f>IF(F13="Yes",IF(SUM($B$10:F10)/(SUM($B$6:F6)+SUM($B$9:F9))&lt;0,999.99,SUM($B$10:F10)/(SUM($B$6:F6)+SUM($B$9:F9))),"")</f>
        <v>0.1277097802595824</v>
      </c>
      <c r="G12" s="82">
        <f>IF(G13="Yes",IF(SUM($B$10:G10)/(SUM($B$6:G6)+SUM($B$9:G9))&lt;0,999.99,SUM($B$10:G10)/(SUM($B$6:G6)+SUM($B$9:G9))),"")</f>
        <v>0.1470089430325248</v>
      </c>
      <c r="H12" s="82">
        <f>IF(H13="Yes",IF(SUM($B$10:H10)/(SUM($B$6:H6)+SUM($B$9:H9))&lt;0,999.99,SUM($B$10:H10)/(SUM($B$6:H6)+SUM($B$9:H9))),"")</f>
        <v>0.2247017887967903</v>
      </c>
      <c r="I12" s="82">
        <f>IF(I13="Yes",IF(SUM($B$10:I10)/(SUM($B$6:I6)+SUM($B$9:I9))&lt;0,999.99,SUM($B$10:I10)/(SUM($B$6:I6)+SUM($B$9:I9))),"")</f>
        <v>0.1689983670833807</v>
      </c>
      <c r="J12" s="82">
        <f>IF(J13="Yes",IF(SUM($B$10:J10)/(SUM($B$6:J6)+SUM($B$9:J9))&lt;0,999.99,SUM($B$10:J10)/(SUM($B$6:J6)+SUM($B$9:J9))),"")</f>
        <v>0.1431074492817445</v>
      </c>
      <c r="K12" s="82">
        <f>IF(K13="Yes",IF(SUM($B$10:K10)/(SUM($B$6:K6)+SUM($B$9:K9))&lt;0,999.99,SUM($B$10:K10)/(SUM($B$6:K6)+SUM($B$9:K9))),"")</f>
        <v>0.1274417251553227</v>
      </c>
      <c r="L12" s="82">
        <f>IF(L13="Yes",IF(SUM($B$10:L10)/(SUM($B$6:L6)+SUM($B$9:L9))&lt;0,999.99,SUM($B$10:L10)/(SUM($B$6:L6)+SUM($B$9:L9))),"")</f>
        <v>0.1168553256867243</v>
      </c>
      <c r="M12" s="82">
        <f>IF(M13="Yes",IF(SUM($B$10:M10)/(SUM($B$6:M6)+SUM($B$9:M9))&lt;0,999.99,SUM($B$10:M10)/(SUM($B$6:M6)+SUM($B$9:M9))),"")</f>
        <v>0.109289881307492</v>
      </c>
      <c r="N12" s="82">
        <f>IF(N13="Yes",IF(SUM($B$10:N10)/(SUM($B$6:N6)+SUM($B$9:N9))&lt;0,999.99,SUM($B$10:N10)/(SUM($B$6:N6)+SUM($B$9:N9))),"")</f>
        <v>0.09626322163768183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Tea</v>
      </c>
      <c r="B18" s="36">
        <f>N18</f>
        <v>92603.29703046629</v>
      </c>
      <c r="C18" s="36">
        <f>O18</f>
        <v>3257.402408106855</v>
      </c>
      <c r="D18" s="36">
        <f>P18</f>
        <v>3257.402408106855</v>
      </c>
      <c r="E18" s="36">
        <f>Q18</f>
        <v>3257.402408106855</v>
      </c>
      <c r="F18" s="36">
        <f>R18</f>
        <v>3257.402408106855</v>
      </c>
      <c r="G18" s="36">
        <f>S18</f>
        <v>3257.402408106855</v>
      </c>
      <c r="H18" s="36">
        <f>T18</f>
        <v>3257.402408106855</v>
      </c>
      <c r="I18" s="36">
        <f>U18</f>
        <v>3257.402408106855</v>
      </c>
      <c r="J18" s="36">
        <f>V18</f>
        <v>3257.402408106855</v>
      </c>
      <c r="K18" s="36">
        <f>W18</f>
        <v>3257.402408106855</v>
      </c>
      <c r="L18" s="36">
        <f>X18</f>
        <v>3257.402408106855</v>
      </c>
      <c r="M18" s="36">
        <f>Y18</f>
        <v>3257.402408106855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92603.29703046629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3257.402408106855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3257.402408106855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3257.402408106855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3257.402408106855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3257.402408106855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3257.402408106855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3257.402408106855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3257.402408106855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3257.402408106855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3257.402408106855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3257.402408106855</v>
      </c>
      <c r="Z18" s="36">
        <f>SUMIF($B$13:$Y$13,"Yes",B18:Y18)</f>
        <v>221038.0205501079</v>
      </c>
      <c r="AA18" s="36">
        <f>SUM(B18:M18)</f>
        <v>128434.7235196416</v>
      </c>
      <c r="AB18" s="36">
        <f>SUM(B18:Y18)</f>
        <v>256869.4470392834</v>
      </c>
      <c r="AC18" s="43"/>
      <c r="AD18" s="43"/>
    </row>
    <row r="19" spans="1:30">
      <c r="A19" t="str">
        <f>IF(Calculations!A5&lt;&gt;Parameters!$A$18,IF(Calculations!A5=0,"",Calculations!A5),Inputs!B8)</f>
        <v>Coffee</v>
      </c>
      <c r="B19" s="36">
        <f>N19</f>
        <v>5923.212282665264</v>
      </c>
      <c r="C19" s="36">
        <f>O19</f>
        <v>5923.212282665264</v>
      </c>
      <c r="D19" s="36">
        <f>P19</f>
        <v>4738.56982613221</v>
      </c>
      <c r="E19" s="36">
        <f>Q19</f>
        <v>2369.284913066105</v>
      </c>
      <c r="F19" s="36">
        <f>R19</f>
        <v>0</v>
      </c>
      <c r="G19" s="36">
        <f>S19</f>
        <v>5923.212282665264</v>
      </c>
      <c r="H19" s="36">
        <f>T19</f>
        <v>5923.212282665264</v>
      </c>
      <c r="I19" s="36">
        <f>U19</f>
        <v>2369.284913066105</v>
      </c>
      <c r="J19" s="36">
        <f>V19</f>
        <v>0</v>
      </c>
      <c r="K19" s="36">
        <f>W19</f>
        <v>2369.284913066105</v>
      </c>
      <c r="L19" s="36">
        <f>X19</f>
        <v>4738.56982613221</v>
      </c>
      <c r="M19" s="36">
        <f>Y19</f>
        <v>5923.212282665264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5923.212282665264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5923.212282665264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4738.56982613221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2369.284913066105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5923.212282665264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5923.212282665264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2369.284913066105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2369.284913066105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4738.56982613221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5923.212282665264</v>
      </c>
      <c r="Z19" s="36">
        <f>SUMIF($B$13:$Y$13,"Yes",B19:Y19)</f>
        <v>52124.26808745431</v>
      </c>
      <c r="AA19" s="36">
        <f>SUM(B19:M19)</f>
        <v>46201.05580478905</v>
      </c>
      <c r="AB19" s="36">
        <f>SUM(B19:Y19)</f>
        <v>92402.1116095781</v>
      </c>
      <c r="AC19" s="43"/>
      <c r="AD19" s="43"/>
    </row>
    <row r="20" spans="1:30">
      <c r="A20" t="str">
        <f>IF(Calculations!A6&lt;&gt;Parameters!$A$18,IF(Calculations!A6=0,"",Calculations!A6),Inputs!B9)</f>
        <v>Bananas</v>
      </c>
      <c r="B20" s="36">
        <f>N20</f>
        <v>95593.75</v>
      </c>
      <c r="C20" s="36">
        <f>O20</f>
        <v>95593.75</v>
      </c>
      <c r="D20" s="36">
        <f>P20</f>
        <v>95593.75</v>
      </c>
      <c r="E20" s="36">
        <f>Q20</f>
        <v>95593.75</v>
      </c>
      <c r="F20" s="36">
        <f>R20</f>
        <v>95593.75</v>
      </c>
      <c r="G20" s="36">
        <f>S20</f>
        <v>95593.75</v>
      </c>
      <c r="H20" s="36">
        <f>T20</f>
        <v>95593.75</v>
      </c>
      <c r="I20" s="36">
        <f>U20</f>
        <v>95593.75</v>
      </c>
      <c r="J20" s="36">
        <f>V20</f>
        <v>95593.75</v>
      </c>
      <c r="K20" s="36">
        <f>W20</f>
        <v>95593.75</v>
      </c>
      <c r="L20" s="36">
        <f>X20</f>
        <v>95593.75</v>
      </c>
      <c r="M20" s="36">
        <f>Y20</f>
        <v>95593.75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95593.75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95593.75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95593.75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95593.75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95593.75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95593.75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95593.75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95593.75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95593.75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95593.75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95593.75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95593.75</v>
      </c>
      <c r="Z20" s="36">
        <f>SUMIF($B$13:$Y$13,"Yes",B20:Y20)</f>
        <v>1242718.75</v>
      </c>
      <c r="AA20" s="36">
        <f>SUM(B20:M20)</f>
        <v>1147125</v>
      </c>
      <c r="AB20" s="36">
        <f>SUM(B20:Y20)</f>
        <v>2294250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140609.022556391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61593.75</v>
      </c>
      <c r="C24" s="36">
        <f>IFERROR(Calculations!$P14/12,"")</f>
        <v>61593.75</v>
      </c>
      <c r="D24" s="36">
        <f>IFERROR(Calculations!$P14/12,"")</f>
        <v>61593.75</v>
      </c>
      <c r="E24" s="36">
        <f>IFERROR(Calculations!$P14/12,"")</f>
        <v>61593.75</v>
      </c>
      <c r="F24" s="36">
        <f>IFERROR(Calculations!$P14/12,"")</f>
        <v>61593.75</v>
      </c>
      <c r="G24" s="36">
        <f>IFERROR(Calculations!$P14/12,"")</f>
        <v>61593.75</v>
      </c>
      <c r="H24" s="36">
        <f>IFERROR(Calculations!$P14/12,"")</f>
        <v>61593.75</v>
      </c>
      <c r="I24" s="36">
        <f>IFERROR(Calculations!$P14/12,"")</f>
        <v>61593.75</v>
      </c>
      <c r="J24" s="36">
        <f>IFERROR(Calculations!$P14/12,"")</f>
        <v>61593.75</v>
      </c>
      <c r="K24" s="36">
        <f>IFERROR(Calculations!$P14/12,"")</f>
        <v>61593.75</v>
      </c>
      <c r="L24" s="36">
        <f>IFERROR(Calculations!$P14/12,"")</f>
        <v>61593.75</v>
      </c>
      <c r="M24" s="36">
        <f>IFERROR(Calculations!$P14/12,"")</f>
        <v>61593.75</v>
      </c>
      <c r="N24" s="36">
        <f>IFERROR(Calculations!$P14/12,"")</f>
        <v>61593.75</v>
      </c>
      <c r="O24" s="36">
        <f>IFERROR(Calculations!$P14/12,"")</f>
        <v>61593.75</v>
      </c>
      <c r="P24" s="36">
        <f>IFERROR(Calculations!$P14/12,"")</f>
        <v>61593.75</v>
      </c>
      <c r="Q24" s="36">
        <f>IFERROR(Calculations!$P14/12,"")</f>
        <v>61593.75</v>
      </c>
      <c r="R24" s="36">
        <f>IFERROR(Calculations!$P14/12,"")</f>
        <v>61593.75</v>
      </c>
      <c r="S24" s="36">
        <f>IFERROR(Calculations!$P14/12,"")</f>
        <v>61593.75</v>
      </c>
      <c r="T24" s="36">
        <f>IFERROR(Calculations!$P14/12,"")</f>
        <v>61593.75</v>
      </c>
      <c r="U24" s="36">
        <f>IFERROR(Calculations!$P14/12,"")</f>
        <v>61593.75</v>
      </c>
      <c r="V24" s="36">
        <f>IFERROR(Calculations!$P14/12,"")</f>
        <v>61593.75</v>
      </c>
      <c r="W24" s="36">
        <f>IFERROR(Calculations!$P14/12,"")</f>
        <v>61593.75</v>
      </c>
      <c r="X24" s="36">
        <f>IFERROR(Calculations!$P14/12,"")</f>
        <v>61593.75</v>
      </c>
      <c r="Y24" s="36">
        <f>IFERROR(Calculations!$P14/12,"")</f>
        <v>61593.75</v>
      </c>
      <c r="Z24" s="36">
        <f>SUMIF($B$13:$Y$13,"Yes",B24:Y24)</f>
        <v>800718.75</v>
      </c>
      <c r="AA24" s="36">
        <f>SUM(B24:M24)</f>
        <v>739125</v>
      </c>
      <c r="AB24" s="46">
        <f>SUM(B24:Y24)</f>
        <v>1478250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60000</v>
      </c>
      <c r="C25" s="36">
        <f>IFERROR(Calculations!$P15/12,"")</f>
        <v>60000</v>
      </c>
      <c r="D25" s="36">
        <f>IFERROR(Calculations!$P15/12,"")</f>
        <v>60000</v>
      </c>
      <c r="E25" s="36">
        <f>IFERROR(Calculations!$P15/12,"")</f>
        <v>60000</v>
      </c>
      <c r="F25" s="36">
        <f>IFERROR(Calculations!$P15/12,"")</f>
        <v>60000</v>
      </c>
      <c r="G25" s="36">
        <f>IFERROR(Calculations!$P15/12,"")</f>
        <v>60000</v>
      </c>
      <c r="H25" s="36">
        <f>IFERROR(Calculations!$P15/12,"")</f>
        <v>60000</v>
      </c>
      <c r="I25" s="36">
        <f>IFERROR(Calculations!$P15/12,"")</f>
        <v>60000</v>
      </c>
      <c r="J25" s="36">
        <f>IFERROR(Calculations!$P15/12,"")</f>
        <v>60000</v>
      </c>
      <c r="K25" s="36">
        <f>IFERROR(Calculations!$P15/12,"")</f>
        <v>60000</v>
      </c>
      <c r="L25" s="36">
        <f>IFERROR(Calculations!$P15/12,"")</f>
        <v>60000</v>
      </c>
      <c r="M25" s="36">
        <f>IFERROR(Calculations!$P15/12,"")</f>
        <v>60000</v>
      </c>
      <c r="N25" s="36">
        <f>IFERROR(Calculations!$P15/12,"")</f>
        <v>60000</v>
      </c>
      <c r="O25" s="36">
        <f>IFERROR(Calculations!$P15/12,"")</f>
        <v>60000</v>
      </c>
      <c r="P25" s="36">
        <f>IFERROR(Calculations!$P15/12,"")</f>
        <v>60000</v>
      </c>
      <c r="Q25" s="36">
        <f>IFERROR(Calculations!$P15/12,"")</f>
        <v>60000</v>
      </c>
      <c r="R25" s="36">
        <f>IFERROR(Calculations!$P15/12,"")</f>
        <v>60000</v>
      </c>
      <c r="S25" s="36">
        <f>IFERROR(Calculations!$P15/12,"")</f>
        <v>60000</v>
      </c>
      <c r="T25" s="36">
        <f>IFERROR(Calculations!$P15/12,"")</f>
        <v>60000</v>
      </c>
      <c r="U25" s="36">
        <f>IFERROR(Calculations!$P15/12,"")</f>
        <v>60000</v>
      </c>
      <c r="V25" s="36">
        <f>IFERROR(Calculations!$P15/12,"")</f>
        <v>60000</v>
      </c>
      <c r="W25" s="36">
        <f>IFERROR(Calculations!$P15/12,"")</f>
        <v>60000</v>
      </c>
      <c r="X25" s="36">
        <f>IFERROR(Calculations!$P15/12,"")</f>
        <v>60000</v>
      </c>
      <c r="Y25" s="36">
        <f>IFERROR(Calculations!$P15/12,"")</f>
        <v>60000</v>
      </c>
      <c r="Z25" s="36">
        <f>SUMIF($B$13:$Y$13,"Yes",B25:Y25)</f>
        <v>780000</v>
      </c>
      <c r="AA25" s="36">
        <f>SUM(B25:M25)</f>
        <v>720000</v>
      </c>
      <c r="AB25" s="46">
        <f>SUM(B25:Y25)</f>
        <v>1440000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31285.71428571429</v>
      </c>
      <c r="C26" s="36">
        <f>IFERROR(Calculations!$P16/12,"")</f>
        <v>31285.71428571429</v>
      </c>
      <c r="D26" s="36">
        <f>IFERROR(Calculations!$P16/12,"")</f>
        <v>31285.71428571429</v>
      </c>
      <c r="E26" s="36">
        <f>IFERROR(Calculations!$P16/12,"")</f>
        <v>31285.71428571429</v>
      </c>
      <c r="F26" s="36">
        <f>IFERROR(Calculations!$P16/12,"")</f>
        <v>31285.71428571429</v>
      </c>
      <c r="G26" s="36">
        <f>IFERROR(Calculations!$P16/12,"")</f>
        <v>31285.71428571429</v>
      </c>
      <c r="H26" s="36">
        <f>IFERROR(Calculations!$P16/12,"")</f>
        <v>31285.71428571429</v>
      </c>
      <c r="I26" s="36">
        <f>IFERROR(Calculations!$P16/12,"")</f>
        <v>31285.71428571429</v>
      </c>
      <c r="J26" s="36">
        <f>IFERROR(Calculations!$P16/12,"")</f>
        <v>31285.71428571429</v>
      </c>
      <c r="K26" s="36">
        <f>IFERROR(Calculations!$P16/12,"")</f>
        <v>31285.71428571429</v>
      </c>
      <c r="L26" s="36">
        <f>IFERROR(Calculations!$P16/12,"")</f>
        <v>31285.71428571429</v>
      </c>
      <c r="M26" s="36">
        <f>IFERROR(Calculations!$P16/12,"")</f>
        <v>31285.71428571429</v>
      </c>
      <c r="N26" s="36">
        <f>IFERROR(Calculations!$P16/12,"")</f>
        <v>31285.71428571429</v>
      </c>
      <c r="O26" s="36">
        <f>IFERROR(Calculations!$P16/12,"")</f>
        <v>31285.71428571429</v>
      </c>
      <c r="P26" s="36">
        <f>IFERROR(Calculations!$P16/12,"")</f>
        <v>31285.71428571429</v>
      </c>
      <c r="Q26" s="36">
        <f>IFERROR(Calculations!$P16/12,"")</f>
        <v>31285.71428571429</v>
      </c>
      <c r="R26" s="36">
        <f>IFERROR(Calculations!$P16/12,"")</f>
        <v>31285.71428571429</v>
      </c>
      <c r="S26" s="36">
        <f>IFERROR(Calculations!$P16/12,"")</f>
        <v>31285.71428571429</v>
      </c>
      <c r="T26" s="36">
        <f>IFERROR(Calculations!$P16/12,"")</f>
        <v>31285.71428571429</v>
      </c>
      <c r="U26" s="36">
        <f>IFERROR(Calculations!$P16/12,"")</f>
        <v>31285.71428571429</v>
      </c>
      <c r="V26" s="36">
        <f>IFERROR(Calculations!$P16/12,"")</f>
        <v>31285.71428571429</v>
      </c>
      <c r="W26" s="36">
        <f>IFERROR(Calculations!$P16/12,"")</f>
        <v>31285.71428571429</v>
      </c>
      <c r="X26" s="36">
        <f>IFERROR(Calculations!$P16/12,"")</f>
        <v>31285.71428571429</v>
      </c>
      <c r="Y26" s="36">
        <f>IFERROR(Calculations!$P16/12,"")</f>
        <v>31285.71428571429</v>
      </c>
      <c r="Z26" s="36">
        <f>SUMIF($B$13:$Y$13,"Yes",B26:Y26)</f>
        <v>406714.2857142856</v>
      </c>
      <c r="AA26" s="36">
        <f>SUM(B26:M26)</f>
        <v>375428.5714285714</v>
      </c>
      <c r="AB26" s="46">
        <f>SUM(B26:Y26)</f>
        <v>750857.142857143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75000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75000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371999.7235988458</v>
      </c>
      <c r="C30" s="19">
        <f>SUM(C18:C29)</f>
        <v>282653.8289764864</v>
      </c>
      <c r="D30" s="19">
        <f>SUM(D18:D29)</f>
        <v>281469.1865199533</v>
      </c>
      <c r="E30" s="19">
        <f>SUM(E18:E29)</f>
        <v>279099.9016068872</v>
      </c>
      <c r="F30" s="19">
        <f>SUM(F18:F29)</f>
        <v>276730.6166938212</v>
      </c>
      <c r="G30" s="19">
        <f>SUM(G18:G29)</f>
        <v>282653.8289764864</v>
      </c>
      <c r="H30" s="19">
        <f>SUM(H18:H29)</f>
        <v>282653.8289764864</v>
      </c>
      <c r="I30" s="19">
        <f>SUM(I18:I29)</f>
        <v>279099.9016068872</v>
      </c>
      <c r="J30" s="19">
        <f>SUM(J18:J29)</f>
        <v>276730.6166938212</v>
      </c>
      <c r="K30" s="19">
        <f>SUM(K18:K29)</f>
        <v>279099.9016068872</v>
      </c>
      <c r="L30" s="19">
        <f>SUM(L18:L29)</f>
        <v>281469.1865199533</v>
      </c>
      <c r="M30" s="19">
        <f>SUM(M18:M29)</f>
        <v>282653.8289764864</v>
      </c>
      <c r="N30" s="19">
        <f>SUM(N18:N29)</f>
        <v>371999.7235988458</v>
      </c>
      <c r="O30" s="19">
        <f>SUM(O18:O29)</f>
        <v>282653.8289764864</v>
      </c>
      <c r="P30" s="19">
        <f>SUM(P18:P29)</f>
        <v>281469.1865199533</v>
      </c>
      <c r="Q30" s="19">
        <f>SUM(Q18:Q29)</f>
        <v>279099.9016068872</v>
      </c>
      <c r="R30" s="19">
        <f>SUM(R18:R29)</f>
        <v>276730.6166938212</v>
      </c>
      <c r="S30" s="19">
        <f>SUM(S18:S29)</f>
        <v>357653.8289764864</v>
      </c>
      <c r="T30" s="19">
        <f>SUM(T18:T29)</f>
        <v>282653.8289764864</v>
      </c>
      <c r="U30" s="19">
        <f>SUM(U18:U29)</f>
        <v>279099.9016068872</v>
      </c>
      <c r="V30" s="19">
        <f>SUM(V18:V29)</f>
        <v>276730.6166938212</v>
      </c>
      <c r="W30" s="19">
        <f>SUM(W18:W29)</f>
        <v>279099.9016068872</v>
      </c>
      <c r="X30" s="19">
        <f>SUM(X18:X29)</f>
        <v>281469.1865199533</v>
      </c>
      <c r="Y30" s="19">
        <f>SUM(Y18:Y29)</f>
        <v>282653.8289764864</v>
      </c>
      <c r="Z30" s="19">
        <f>SUMIF($B$13:$Y$13,"Yes",B30:Y30)</f>
        <v>3828314.074351848</v>
      </c>
      <c r="AA30" s="19">
        <f>SUM(B30:M30)</f>
        <v>3456314.350753002</v>
      </c>
      <c r="AB30" s="19">
        <f>SUM(B30:Y30)</f>
        <v>6987628.701506006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1666.666666666667</v>
      </c>
      <c r="C36" s="36">
        <f>O36</f>
        <v>1666.666666666667</v>
      </c>
      <c r="D36" s="36">
        <f>P36</f>
        <v>1666.666666666667</v>
      </c>
      <c r="E36" s="36">
        <f>Q36</f>
        <v>1666.666666666667</v>
      </c>
      <c r="F36" s="36">
        <f>R36</f>
        <v>1666.666666666667</v>
      </c>
      <c r="G36" s="36">
        <f>S36</f>
        <v>1666.666666666667</v>
      </c>
      <c r="H36" s="36">
        <f>T36</f>
        <v>1666.666666666667</v>
      </c>
      <c r="I36" s="36">
        <f>U36</f>
        <v>1666.666666666667</v>
      </c>
      <c r="J36" s="36">
        <f>V36</f>
        <v>1666.666666666667</v>
      </c>
      <c r="K36" s="36">
        <f>W36</f>
        <v>1666.666666666667</v>
      </c>
      <c r="L36" s="36">
        <f>X36</f>
        <v>1666.666666666667</v>
      </c>
      <c r="M36" s="36">
        <f>Y36</f>
        <v>1666.666666666667</v>
      </c>
      <c r="N36" s="36">
        <f>SUM(N37:N41)</f>
        <v>1666.666666666667</v>
      </c>
      <c r="O36" s="36">
        <f>SUM(O37:O41)</f>
        <v>1666.666666666667</v>
      </c>
      <c r="P36" s="36">
        <f>SUM(P37:P41)</f>
        <v>1666.666666666667</v>
      </c>
      <c r="Q36" s="36">
        <f>SUM(Q37:Q41)</f>
        <v>1666.666666666667</v>
      </c>
      <c r="R36" s="36">
        <f>SUM(R37:R41)</f>
        <v>1666.666666666667</v>
      </c>
      <c r="S36" s="36">
        <f>SUM(S37:S41)</f>
        <v>1666.666666666667</v>
      </c>
      <c r="T36" s="36">
        <f>SUM(T37:T41)</f>
        <v>1666.666666666667</v>
      </c>
      <c r="U36" s="36">
        <f>SUM(U37:U41)</f>
        <v>1666.666666666667</v>
      </c>
      <c r="V36" s="36">
        <f>SUM(V37:V41)</f>
        <v>1666.666666666667</v>
      </c>
      <c r="W36" s="36">
        <f>SUM(W37:W41)</f>
        <v>1666.666666666667</v>
      </c>
      <c r="X36" s="36">
        <f>SUM(X37:X41)</f>
        <v>1666.666666666667</v>
      </c>
      <c r="Y36" s="36">
        <f>SUM(Y37:Y41)</f>
        <v>1666.666666666667</v>
      </c>
      <c r="Z36" s="36">
        <f>SUMIF($B$13:$Y$13,"Yes",B36:Y36)</f>
        <v>21666.66666666667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Tea</v>
      </c>
      <c r="B37" s="36">
        <f>N37</f>
        <v>833.3333333333334</v>
      </c>
      <c r="C37" s="36">
        <f>O37</f>
        <v>833.3333333333334</v>
      </c>
      <c r="D37" s="36">
        <f>P37</f>
        <v>833.3333333333334</v>
      </c>
      <c r="E37" s="36">
        <f>Q37</f>
        <v>833.3333333333334</v>
      </c>
      <c r="F37" s="36">
        <f>R37</f>
        <v>833.3333333333334</v>
      </c>
      <c r="G37" s="36">
        <f>S37</f>
        <v>833.3333333333334</v>
      </c>
      <c r="H37" s="36">
        <f>T37</f>
        <v>833.3333333333334</v>
      </c>
      <c r="I37" s="36">
        <f>U37</f>
        <v>833.3333333333334</v>
      </c>
      <c r="J37" s="36">
        <f>V37</f>
        <v>833.3333333333334</v>
      </c>
      <c r="K37" s="36">
        <f>W37</f>
        <v>833.3333333333334</v>
      </c>
      <c r="L37" s="36">
        <f>X37</f>
        <v>833.3333333333334</v>
      </c>
      <c r="M37" s="36">
        <f>Y37</f>
        <v>833.3333333333334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833.3333333333334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833.3333333333334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833.3333333333334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833.3333333333334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833.3333333333334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833.3333333333334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833.3333333333334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833.3333333333334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833.3333333333334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833.3333333333334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833.3333333333334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833.3333333333334</v>
      </c>
      <c r="Z37" s="36">
        <f>SUMIF($B$13:$Y$13,"Yes",B37:Y37)</f>
        <v>10833.33333333333</v>
      </c>
      <c r="AA37" s="36">
        <f>SUM(B37:M37)</f>
        <v>10000</v>
      </c>
      <c r="AB37" s="36">
        <f>SUM(B37:Y37)</f>
        <v>20000</v>
      </c>
      <c r="AC37" s="73"/>
    </row>
    <row r="38" spans="1:30" hidden="true" outlineLevel="1">
      <c r="A38" s="181" t="str">
        <f>Calculations!$A$5</f>
        <v>Coffee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Bananas</v>
      </c>
      <c r="B39" s="36">
        <f>N39</f>
        <v>833.3333333333334</v>
      </c>
      <c r="C39" s="36">
        <f>O39</f>
        <v>833.3333333333334</v>
      </c>
      <c r="D39" s="36">
        <f>P39</f>
        <v>833.3333333333334</v>
      </c>
      <c r="E39" s="36">
        <f>Q39</f>
        <v>833.3333333333334</v>
      </c>
      <c r="F39" s="36">
        <f>R39</f>
        <v>833.3333333333334</v>
      </c>
      <c r="G39" s="36">
        <f>S39</f>
        <v>833.3333333333334</v>
      </c>
      <c r="H39" s="36">
        <f>T39</f>
        <v>833.3333333333334</v>
      </c>
      <c r="I39" s="36">
        <f>U39</f>
        <v>833.3333333333334</v>
      </c>
      <c r="J39" s="36">
        <f>V39</f>
        <v>833.3333333333334</v>
      </c>
      <c r="K39" s="36">
        <f>W39</f>
        <v>833.3333333333334</v>
      </c>
      <c r="L39" s="36">
        <f>X39</f>
        <v>833.3333333333334</v>
      </c>
      <c r="M39" s="36">
        <f>Y39</f>
        <v>833.3333333333334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833.3333333333334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833.3333333333334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833.3333333333334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833.3333333333334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833.3333333333334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833.3333333333334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833.3333333333334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833.3333333333334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833.3333333333334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833.3333333333334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833.3333333333334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833.3333333333334</v>
      </c>
      <c r="Z39" s="36">
        <f>SUMIF($B$13:$Y$13,"Yes",B39:Y39)</f>
        <v>10833.33333333333</v>
      </c>
      <c r="AA39" s="36">
        <f>SUM(B39:M39)</f>
        <v>10000</v>
      </c>
      <c r="AB39" s="36">
        <f>SUM(B39:Y39)</f>
        <v>20000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Tea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Coffee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Bananas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Tea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Coffee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Bananas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Tea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Coffee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Bananas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2916.666666666667</v>
      </c>
      <c r="C60" s="36">
        <f>O60</f>
        <v>2916.666666666667</v>
      </c>
      <c r="D60" s="36">
        <f>P60</f>
        <v>2916.666666666667</v>
      </c>
      <c r="E60" s="36">
        <f>Q60</f>
        <v>2916.666666666667</v>
      </c>
      <c r="F60" s="36">
        <f>R60</f>
        <v>2916.666666666667</v>
      </c>
      <c r="G60" s="36">
        <f>S60</f>
        <v>2916.666666666667</v>
      </c>
      <c r="H60" s="36">
        <f>T60</f>
        <v>2916.666666666667</v>
      </c>
      <c r="I60" s="36">
        <f>U60</f>
        <v>2916.666666666667</v>
      </c>
      <c r="J60" s="36">
        <f>V60</f>
        <v>2916.666666666667</v>
      </c>
      <c r="K60" s="36">
        <f>W60</f>
        <v>2916.666666666667</v>
      </c>
      <c r="L60" s="36">
        <f>X60</f>
        <v>2916.666666666667</v>
      </c>
      <c r="M60" s="36">
        <f>Y60</f>
        <v>2916.666666666667</v>
      </c>
      <c r="N60" s="46">
        <f>SUM(N61:N65)</f>
        <v>2916.666666666667</v>
      </c>
      <c r="O60" s="46">
        <f>SUM(O61:O65)</f>
        <v>2916.666666666667</v>
      </c>
      <c r="P60" s="46">
        <f>SUM(P61:P65)</f>
        <v>2916.666666666667</v>
      </c>
      <c r="Q60" s="46">
        <f>SUM(Q61:Q65)</f>
        <v>2916.666666666667</v>
      </c>
      <c r="R60" s="46">
        <f>SUM(R61:R65)</f>
        <v>2916.666666666667</v>
      </c>
      <c r="S60" s="46">
        <f>SUM(S61:S65)</f>
        <v>2916.666666666667</v>
      </c>
      <c r="T60" s="46">
        <f>SUM(T61:T65)</f>
        <v>2916.666666666667</v>
      </c>
      <c r="U60" s="46">
        <f>SUM(U61:U65)</f>
        <v>2916.666666666667</v>
      </c>
      <c r="V60" s="46">
        <f>SUM(V61:V65)</f>
        <v>2916.666666666667</v>
      </c>
      <c r="W60" s="46">
        <f>SUM(W61:W65)</f>
        <v>2916.666666666667</v>
      </c>
      <c r="X60" s="46">
        <f>SUM(X61:X65)</f>
        <v>2916.666666666667</v>
      </c>
      <c r="Y60" s="46">
        <f>SUM(Y61:Y65)</f>
        <v>2916.666666666667</v>
      </c>
      <c r="Z60" s="46">
        <f>SUMIF($B$13:$Y$13,"Yes",B60:Y60)</f>
        <v>37916.66666666667</v>
      </c>
      <c r="AA60" s="46">
        <f>SUM(B60:M60)</f>
        <v>35000.00000000001</v>
      </c>
      <c r="AB60" s="46">
        <f>SUM(B60:Y60)</f>
        <v>69999.99999999999</v>
      </c>
    </row>
    <row r="61" spans="1:30" hidden="true" outlineLevel="1">
      <c r="A61" s="181" t="str">
        <f>Calculations!$A$4</f>
        <v>Tea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Coffee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Bananas</v>
      </c>
      <c r="B63" s="36">
        <f>N63</f>
        <v>2916.666666666667</v>
      </c>
      <c r="C63" s="36">
        <f>O63</f>
        <v>2916.666666666667</v>
      </c>
      <c r="D63" s="36">
        <f>P63</f>
        <v>2916.666666666667</v>
      </c>
      <c r="E63" s="36">
        <f>Q63</f>
        <v>2916.666666666667</v>
      </c>
      <c r="F63" s="36">
        <f>R63</f>
        <v>2916.666666666667</v>
      </c>
      <c r="G63" s="36">
        <f>S63</f>
        <v>2916.666666666667</v>
      </c>
      <c r="H63" s="36">
        <f>T63</f>
        <v>2916.666666666667</v>
      </c>
      <c r="I63" s="36">
        <f>U63</f>
        <v>2916.666666666667</v>
      </c>
      <c r="J63" s="36">
        <f>V63</f>
        <v>2916.666666666667</v>
      </c>
      <c r="K63" s="36">
        <f>W63</f>
        <v>2916.666666666667</v>
      </c>
      <c r="L63" s="36">
        <f>X63</f>
        <v>2916.666666666667</v>
      </c>
      <c r="M63" s="36">
        <f>Y63</f>
        <v>2916.666666666667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2916.666666666667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2916.666666666667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2916.666666666667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2916.666666666667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2916.666666666667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2916.666666666667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2916.666666666667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2916.666666666667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2916.666666666667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2916.666666666667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2916.666666666667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2916.666666666667</v>
      </c>
      <c r="Z63" s="46">
        <f>SUMIF($B$13:$Y$13,"Yes",B63:Y63)</f>
        <v>37916.66666666667</v>
      </c>
      <c r="AA63" s="46">
        <f>SUM(B63:M63)</f>
        <v>35000.00000000001</v>
      </c>
      <c r="AB63" s="46">
        <f>SUM(B63:Y63)</f>
        <v>69999.99999999999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4427.083333333333</v>
      </c>
      <c r="C66" s="36">
        <f>O66</f>
        <v>4427.083333333333</v>
      </c>
      <c r="D66" s="36">
        <f>P66</f>
        <v>4427.083333333333</v>
      </c>
      <c r="E66" s="36">
        <f>Q66</f>
        <v>4427.083333333333</v>
      </c>
      <c r="F66" s="36">
        <f>R66</f>
        <v>4427.083333333333</v>
      </c>
      <c r="G66" s="36">
        <f>S66</f>
        <v>4427.083333333333</v>
      </c>
      <c r="H66" s="36">
        <f>T66</f>
        <v>4427.083333333333</v>
      </c>
      <c r="I66" s="36">
        <f>U66</f>
        <v>4427.083333333333</v>
      </c>
      <c r="J66" s="36">
        <f>V66</f>
        <v>4427.083333333333</v>
      </c>
      <c r="K66" s="36">
        <f>W66</f>
        <v>4427.083333333333</v>
      </c>
      <c r="L66" s="36">
        <f>X66</f>
        <v>4427.083333333333</v>
      </c>
      <c r="M66" s="36">
        <f>Y66</f>
        <v>4427.083333333333</v>
      </c>
      <c r="N66" s="46">
        <f>SUM(N67:N71)</f>
        <v>4427.083333333333</v>
      </c>
      <c r="O66" s="46">
        <f>SUM(O67:O71)</f>
        <v>4427.083333333333</v>
      </c>
      <c r="P66" s="46">
        <f>SUM(P67:P71)</f>
        <v>4427.083333333333</v>
      </c>
      <c r="Q66" s="46">
        <f>SUM(Q67:Q71)</f>
        <v>4427.083333333333</v>
      </c>
      <c r="R66" s="46">
        <f>SUM(R67:R71)</f>
        <v>4427.083333333333</v>
      </c>
      <c r="S66" s="46">
        <f>SUM(S67:S71)</f>
        <v>4427.083333333333</v>
      </c>
      <c r="T66" s="46">
        <f>SUM(T67:T71)</f>
        <v>4427.083333333333</v>
      </c>
      <c r="U66" s="46">
        <f>SUM(U67:U71)</f>
        <v>4427.083333333333</v>
      </c>
      <c r="V66" s="46">
        <f>SUM(V67:V71)</f>
        <v>4427.083333333333</v>
      </c>
      <c r="W66" s="46">
        <f>SUM(W67:W71)</f>
        <v>4427.083333333333</v>
      </c>
      <c r="X66" s="46">
        <f>SUM(X67:X71)</f>
        <v>4427.083333333333</v>
      </c>
      <c r="Y66" s="46">
        <f>SUM(Y67:Y71)</f>
        <v>4427.083333333333</v>
      </c>
      <c r="Z66" s="46">
        <f>SUMIF($B$13:$Y$13,"Yes",B66:Y66)</f>
        <v>57552.08333333334</v>
      </c>
      <c r="AA66" s="46">
        <f>SUM(B66:M66)</f>
        <v>53125.00000000001</v>
      </c>
      <c r="AB66" s="46">
        <f>SUM(B66:Y66)</f>
        <v>106250</v>
      </c>
    </row>
    <row r="67" spans="1:30" hidden="true" outlineLevel="1">
      <c r="A67" s="181" t="str">
        <f>Calculations!$A$4</f>
        <v>Tea</v>
      </c>
      <c r="B67" s="36">
        <f>N67</f>
        <v>3125</v>
      </c>
      <c r="C67" s="36">
        <f>O67</f>
        <v>3125</v>
      </c>
      <c r="D67" s="36">
        <f>P67</f>
        <v>3125</v>
      </c>
      <c r="E67" s="36">
        <f>Q67</f>
        <v>3125</v>
      </c>
      <c r="F67" s="36">
        <f>R67</f>
        <v>3125</v>
      </c>
      <c r="G67" s="36">
        <f>S67</f>
        <v>3125</v>
      </c>
      <c r="H67" s="36">
        <f>T67</f>
        <v>3125</v>
      </c>
      <c r="I67" s="36">
        <f>U67</f>
        <v>3125</v>
      </c>
      <c r="J67" s="36">
        <f>V67</f>
        <v>3125</v>
      </c>
      <c r="K67" s="36">
        <f>W67</f>
        <v>3125</v>
      </c>
      <c r="L67" s="36">
        <f>X67</f>
        <v>3125</v>
      </c>
      <c r="M67" s="36">
        <f>Y67</f>
        <v>3125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3125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3125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3125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3125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3125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3125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3125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3125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3125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3125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3125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3125</v>
      </c>
      <c r="Z67" s="46">
        <f>SUMIF($B$13:$Y$13,"Yes",B67:Y67)</f>
        <v>40625</v>
      </c>
      <c r="AA67" s="46">
        <f>SUM(B67:M67)</f>
        <v>37500</v>
      </c>
      <c r="AB67" s="46">
        <f>SUM(B67:Y67)</f>
        <v>75000</v>
      </c>
    </row>
    <row r="68" spans="1:30" hidden="true" outlineLevel="1">
      <c r="A68" s="181" t="str">
        <f>Calculations!$A$5</f>
        <v>Coffee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Bananas</v>
      </c>
      <c r="B69" s="36">
        <f>N69</f>
        <v>1302.083333333333</v>
      </c>
      <c r="C69" s="36">
        <f>O69</f>
        <v>1302.083333333333</v>
      </c>
      <c r="D69" s="36">
        <f>P69</f>
        <v>1302.083333333333</v>
      </c>
      <c r="E69" s="36">
        <f>Q69</f>
        <v>1302.083333333333</v>
      </c>
      <c r="F69" s="36">
        <f>R69</f>
        <v>1302.083333333333</v>
      </c>
      <c r="G69" s="36">
        <f>S69</f>
        <v>1302.083333333333</v>
      </c>
      <c r="H69" s="36">
        <f>T69</f>
        <v>1302.083333333333</v>
      </c>
      <c r="I69" s="36">
        <f>U69</f>
        <v>1302.083333333333</v>
      </c>
      <c r="J69" s="36">
        <f>V69</f>
        <v>1302.083333333333</v>
      </c>
      <c r="K69" s="36">
        <f>W69</f>
        <v>1302.083333333333</v>
      </c>
      <c r="L69" s="36">
        <f>X69</f>
        <v>1302.083333333333</v>
      </c>
      <c r="M69" s="36">
        <f>Y69</f>
        <v>1302.083333333333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1302.083333333333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1302.083333333333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1302.083333333333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1302.083333333333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1302.083333333333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1302.083333333333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1302.083333333333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1302.083333333333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1302.083333333333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1302.083333333333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1302.083333333333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1302.083333333333</v>
      </c>
      <c r="Z69" s="46">
        <f>SUMIF($B$13:$Y$13,"Yes",B69:Y69)</f>
        <v>16927.08333333334</v>
      </c>
      <c r="AA69" s="46">
        <f>SUM(B69:M69)</f>
        <v>15625</v>
      </c>
      <c r="AB69" s="46">
        <f>SUM(B69:Y69)</f>
        <v>31249.99999999999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79083.33333333333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1888.888888888889</v>
      </c>
      <c r="C75" s="46">
        <f>SUM(Calculations!$R$14:$R$16)/12</f>
        <v>1888.888888888889</v>
      </c>
      <c r="D75" s="46">
        <f>SUM(Calculations!$R$14:$R$16)/12</f>
        <v>1888.888888888889</v>
      </c>
      <c r="E75" s="46">
        <f>SUM(Calculations!$R$14:$R$16)/12</f>
        <v>1888.888888888889</v>
      </c>
      <c r="F75" s="46">
        <f>SUM(Calculations!$R$14:$R$16)/12</f>
        <v>1888.888888888889</v>
      </c>
      <c r="G75" s="46">
        <f>SUM(Calculations!$R$14:$R$16)/12</f>
        <v>1888.888888888889</v>
      </c>
      <c r="H75" s="46">
        <f>SUM(Calculations!$R$14:$R$16)/12</f>
        <v>1888.888888888889</v>
      </c>
      <c r="I75" s="46">
        <f>SUM(Calculations!$R$14:$R$16)/12</f>
        <v>1888.888888888889</v>
      </c>
      <c r="J75" s="46">
        <f>SUM(Calculations!$R$14:$R$16)/12</f>
        <v>1888.888888888889</v>
      </c>
      <c r="K75" s="46">
        <f>SUM(Calculations!$R$14:$R$16)/12</f>
        <v>1888.888888888889</v>
      </c>
      <c r="L75" s="46">
        <f>SUM(Calculations!$R$14:$R$16)/12</f>
        <v>1888.888888888889</v>
      </c>
      <c r="M75" s="46">
        <f>SUM(Calculations!$R$14:$R$16)/12</f>
        <v>1888.888888888889</v>
      </c>
      <c r="N75" s="46">
        <f>SUM(Calculations!$R$14:$R$16)/12</f>
        <v>1888.888888888889</v>
      </c>
      <c r="O75" s="46">
        <f>SUM(Calculations!$R$14:$R$16)/12</f>
        <v>1888.888888888889</v>
      </c>
      <c r="P75" s="46">
        <f>SUM(Calculations!$R$14:$R$16)/12</f>
        <v>1888.888888888889</v>
      </c>
      <c r="Q75" s="46">
        <f>SUM(Calculations!$R$14:$R$16)/12</f>
        <v>1888.888888888889</v>
      </c>
      <c r="R75" s="46">
        <f>SUM(Calculations!$R$14:$R$16)/12</f>
        <v>1888.888888888889</v>
      </c>
      <c r="S75" s="46">
        <f>SUM(Calculations!$R$14:$R$16)/12</f>
        <v>1888.888888888889</v>
      </c>
      <c r="T75" s="46">
        <f>SUM(Calculations!$R$14:$R$16)/12</f>
        <v>1888.888888888889</v>
      </c>
      <c r="U75" s="46">
        <f>SUM(Calculations!$R$14:$R$16)/12</f>
        <v>1888.888888888889</v>
      </c>
      <c r="V75" s="46">
        <f>SUM(Calculations!$R$14:$R$16)/12</f>
        <v>1888.888888888889</v>
      </c>
      <c r="W75" s="46">
        <f>SUM(Calculations!$R$14:$R$16)/12</f>
        <v>1888.888888888889</v>
      </c>
      <c r="X75" s="46">
        <f>SUM(Calculations!$R$14:$R$16)/12</f>
        <v>1888.888888888889</v>
      </c>
      <c r="Y75" s="46">
        <f>SUM(Calculations!$R$14:$R$16)/12</f>
        <v>1888.888888888889</v>
      </c>
      <c r="Z75" s="46">
        <f>SUMIF($B$13:$Y$13,"Yes",B75:Y75)</f>
        <v>24555.55555555556</v>
      </c>
      <c r="AA75" s="46">
        <f>SUM(B75:M75)</f>
        <v>22666.66666666667</v>
      </c>
      <c r="AB75" s="46">
        <f>SUM(B75:Y75)</f>
        <v>45333.33333333336</v>
      </c>
    </row>
    <row r="76" spans="1:30">
      <c r="A76" s="16" t="s">
        <v>48</v>
      </c>
      <c r="B76" s="46">
        <f>SUM(Calculations!$S$14:$S$16)/12</f>
        <v>5858.709273182957</v>
      </c>
      <c r="C76" s="46">
        <f>SUM(Calculations!$S$14:$S$16)/12</f>
        <v>5858.709273182957</v>
      </c>
      <c r="D76" s="46">
        <f>SUM(Calculations!$S$14:$S$16)/12</f>
        <v>5858.709273182957</v>
      </c>
      <c r="E76" s="46">
        <f>SUM(Calculations!$S$14:$S$16)/12</f>
        <v>5858.709273182957</v>
      </c>
      <c r="F76" s="46">
        <f>SUM(Calculations!$S$14:$S$16)/12</f>
        <v>5858.709273182957</v>
      </c>
      <c r="G76" s="46">
        <f>SUM(Calculations!$S$14:$S$16)/12</f>
        <v>5858.709273182957</v>
      </c>
      <c r="H76" s="46">
        <f>SUM(Calculations!$S$14:$S$16)/12</f>
        <v>5858.709273182957</v>
      </c>
      <c r="I76" s="46">
        <f>SUM(Calculations!$S$14:$S$16)/12</f>
        <v>5858.709273182957</v>
      </c>
      <c r="J76" s="46">
        <f>SUM(Calculations!$S$14:$S$16)/12</f>
        <v>5858.709273182957</v>
      </c>
      <c r="K76" s="46">
        <f>SUM(Calculations!$S$14:$S$16)/12</f>
        <v>5858.709273182957</v>
      </c>
      <c r="L76" s="46">
        <f>SUM(Calculations!$S$14:$S$16)/12</f>
        <v>5858.709273182957</v>
      </c>
      <c r="M76" s="46">
        <f>SUM(Calculations!$S$14:$S$16)/12</f>
        <v>5858.709273182957</v>
      </c>
      <c r="N76" s="46">
        <f>SUM(Calculations!$S$14:$S$16)/12</f>
        <v>5858.709273182957</v>
      </c>
      <c r="O76" s="46">
        <f>SUM(Calculations!$S$14:$S$16)/12</f>
        <v>5858.709273182957</v>
      </c>
      <c r="P76" s="46">
        <f>SUM(Calculations!$S$14:$S$16)/12</f>
        <v>5858.709273182957</v>
      </c>
      <c r="Q76" s="46">
        <f>SUM(Calculations!$S$14:$S$16)/12</f>
        <v>5858.709273182957</v>
      </c>
      <c r="R76" s="46">
        <f>SUM(Calculations!$S$14:$S$16)/12</f>
        <v>5858.709273182957</v>
      </c>
      <c r="S76" s="46">
        <f>SUM(Calculations!$S$14:$S$16)/12</f>
        <v>5858.709273182957</v>
      </c>
      <c r="T76" s="46">
        <f>SUM(Calculations!$S$14:$S$16)/12</f>
        <v>5858.709273182957</v>
      </c>
      <c r="U76" s="46">
        <f>SUM(Calculations!$S$14:$S$16)/12</f>
        <v>5858.709273182957</v>
      </c>
      <c r="V76" s="46">
        <f>SUM(Calculations!$S$14:$S$16)/12</f>
        <v>5858.709273182957</v>
      </c>
      <c r="W76" s="46">
        <f>SUM(Calculations!$S$14:$S$16)/12</f>
        <v>5858.709273182957</v>
      </c>
      <c r="X76" s="46">
        <f>SUM(Calculations!$S$14:$S$16)/12</f>
        <v>5858.709273182957</v>
      </c>
      <c r="Y76" s="46">
        <f>SUM(Calculations!$S$14:$S$16)/12</f>
        <v>5858.709273182957</v>
      </c>
      <c r="Z76" s="46">
        <f>SUMIF($B$13:$Y$13,"Yes",B76:Y76)</f>
        <v>76163.22055137843</v>
      </c>
      <c r="AA76" s="46">
        <f>SUM(B76:M76)</f>
        <v>70304.51127819547</v>
      </c>
      <c r="AB76" s="46">
        <f>SUM(B76:Y76)</f>
        <v>140609.022556391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104073.9390936047</v>
      </c>
      <c r="C81" s="46">
        <f>(SUM($AA$18:$AA$29)-SUM($AA$36,$AA$42,$AA$48,$AA$54,$AA$60,$AA$66,$AA$72:$AA$79))*Parameters!$B$37/12</f>
        <v>104073.9390936047</v>
      </c>
      <c r="D81" s="46">
        <f>(SUM($AA$18:$AA$29)-SUM($AA$36,$AA$42,$AA$48,$AA$54,$AA$60,$AA$66,$AA$72:$AA$79))*Parameters!$B$37/12</f>
        <v>104073.9390936047</v>
      </c>
      <c r="E81" s="46">
        <f>(SUM($AA$18:$AA$29)-SUM($AA$36,$AA$42,$AA$48,$AA$54,$AA$60,$AA$66,$AA$72:$AA$79))*Parameters!$B$37/12</f>
        <v>104073.9390936047</v>
      </c>
      <c r="F81" s="46">
        <f>(SUM($AA$18:$AA$29)-SUM($AA$36,$AA$42,$AA$48,$AA$54,$AA$60,$AA$66,$AA$72:$AA$79))*Parameters!$B$37/12</f>
        <v>104073.9390936047</v>
      </c>
      <c r="G81" s="46">
        <f>(SUM($AA$18:$AA$29)-SUM($AA$36,$AA$42,$AA$48,$AA$54,$AA$60,$AA$66,$AA$72:$AA$79))*Parameters!$B$37/12</f>
        <v>104073.9390936047</v>
      </c>
      <c r="H81" s="46">
        <f>(SUM($AA$18:$AA$29)-SUM($AA$36,$AA$42,$AA$48,$AA$54,$AA$60,$AA$66,$AA$72:$AA$79))*Parameters!$B$37/12</f>
        <v>104073.9390936047</v>
      </c>
      <c r="I81" s="46">
        <f>(SUM($AA$18:$AA$29)-SUM($AA$36,$AA$42,$AA$48,$AA$54,$AA$60,$AA$66,$AA$72:$AA$79))*Parameters!$B$37/12</f>
        <v>104073.9390936047</v>
      </c>
      <c r="J81" s="46">
        <f>(SUM($AA$18:$AA$29)-SUM($AA$36,$AA$42,$AA$48,$AA$54,$AA$60,$AA$66,$AA$72:$AA$79))*Parameters!$B$37/12</f>
        <v>104073.9390936047</v>
      </c>
      <c r="K81" s="46">
        <f>(SUM($AA$18:$AA$29)-SUM($AA$36,$AA$42,$AA$48,$AA$54,$AA$60,$AA$66,$AA$72:$AA$79))*Parameters!$B$37/12</f>
        <v>104073.9390936047</v>
      </c>
      <c r="L81" s="46">
        <f>(SUM($AA$18:$AA$29)-SUM($AA$36,$AA$42,$AA$48,$AA$54,$AA$60,$AA$66,$AA$72:$AA$79))*Parameters!$B$37/12</f>
        <v>104073.9390936047</v>
      </c>
      <c r="M81" s="46">
        <f>(SUM($AA$18:$AA$29)-SUM($AA$36,$AA$42,$AA$48,$AA$54,$AA$60,$AA$66,$AA$72:$AA$79))*Parameters!$B$37/12</f>
        <v>104073.9390936047</v>
      </c>
      <c r="N81" s="46">
        <f>(SUM($AA$18:$AA$29)-SUM($AA$36,$AA$42,$AA$48,$AA$54,$AA$60,$AA$66,$AA$72:$AA$79))*Parameters!$B$37/12</f>
        <v>104073.9390936047</v>
      </c>
      <c r="O81" s="46">
        <f>(SUM($AA$18:$AA$29)-SUM($AA$36,$AA$42,$AA$48,$AA$54,$AA$60,$AA$66,$AA$72:$AA$79))*Parameters!$B$37/12</f>
        <v>104073.9390936047</v>
      </c>
      <c r="P81" s="46">
        <f>(SUM($AA$18:$AA$29)-SUM($AA$36,$AA$42,$AA$48,$AA$54,$AA$60,$AA$66,$AA$72:$AA$79))*Parameters!$B$37/12</f>
        <v>104073.9390936047</v>
      </c>
      <c r="Q81" s="46">
        <f>(SUM($AA$18:$AA$29)-SUM($AA$36,$AA$42,$AA$48,$AA$54,$AA$60,$AA$66,$AA$72:$AA$79))*Parameters!$B$37/12</f>
        <v>104073.9390936047</v>
      </c>
      <c r="R81" s="46">
        <f>(SUM($AA$18:$AA$29)-SUM($AA$36,$AA$42,$AA$48,$AA$54,$AA$60,$AA$66,$AA$72:$AA$79))*Parameters!$B$37/12</f>
        <v>104073.9390936047</v>
      </c>
      <c r="S81" s="46">
        <f>(SUM($AA$18:$AA$29)-SUM($AA$36,$AA$42,$AA$48,$AA$54,$AA$60,$AA$66,$AA$72:$AA$79))*Parameters!$B$37/12</f>
        <v>104073.9390936047</v>
      </c>
      <c r="T81" s="46">
        <f>(SUM($AA$18:$AA$29)-SUM($AA$36,$AA$42,$AA$48,$AA$54,$AA$60,$AA$66,$AA$72:$AA$79))*Parameters!$B$37/12</f>
        <v>104073.9390936047</v>
      </c>
      <c r="U81" s="46">
        <f>(SUM($AA$18:$AA$29)-SUM($AA$36,$AA$42,$AA$48,$AA$54,$AA$60,$AA$66,$AA$72:$AA$79))*Parameters!$B$37/12</f>
        <v>104073.9390936047</v>
      </c>
      <c r="V81" s="46">
        <f>(SUM($AA$18:$AA$29)-SUM($AA$36,$AA$42,$AA$48,$AA$54,$AA$60,$AA$66,$AA$72:$AA$79))*Parameters!$B$37/12</f>
        <v>104073.9390936047</v>
      </c>
      <c r="W81" s="46">
        <f>(SUM($AA$18:$AA$29)-SUM($AA$36,$AA$42,$AA$48,$AA$54,$AA$60,$AA$66,$AA$72:$AA$79))*Parameters!$B$37/12</f>
        <v>104073.9390936047</v>
      </c>
      <c r="X81" s="46">
        <f>(SUM($AA$18:$AA$29)-SUM($AA$36,$AA$42,$AA$48,$AA$54,$AA$60,$AA$66,$AA$72:$AA$79))*Parameters!$B$37/12</f>
        <v>104073.9390936047</v>
      </c>
      <c r="Y81" s="46">
        <f>(SUM($AA$18:$AA$29)-SUM($AA$36,$AA$42,$AA$48,$AA$54,$AA$60,$AA$66,$AA$72:$AA$79))*Parameters!$B$37/12</f>
        <v>104073.9390936047</v>
      </c>
      <c r="Z81" s="46">
        <f>SUMIF($B$13:$Y$13,"Yes",B81:Y81)</f>
        <v>1352961.208216861</v>
      </c>
      <c r="AA81" s="46">
        <f>SUM(B81:M81)</f>
        <v>1248887.269123256</v>
      </c>
      <c r="AB81" s="46">
        <f>SUM(B81:Y81)</f>
        <v>2497774.538246512</v>
      </c>
    </row>
    <row r="82" spans="1:30">
      <c r="A82" s="16" t="s">
        <v>52</v>
      </c>
      <c r="B82" s="46">
        <f>SUM(B83:B87)</f>
        <v>123833.3333333333</v>
      </c>
      <c r="C82" s="46">
        <f>SUM(C83:C87)</f>
        <v>123833.3333333333</v>
      </c>
      <c r="D82" s="46">
        <f>SUM(D83:D87)</f>
        <v>123833.3333333333</v>
      </c>
      <c r="E82" s="46">
        <f>SUM(E83:E87)</f>
        <v>123833.3333333333</v>
      </c>
      <c r="F82" s="46">
        <f>SUM(F83:F87)</f>
        <v>123833.3333333333</v>
      </c>
      <c r="G82" s="46">
        <f>SUM(G83:G87)</f>
        <v>123833.3333333333</v>
      </c>
      <c r="H82" s="46">
        <f>SUM(H83:H87)</f>
        <v>223833.3333333333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966833.3333333334</v>
      </c>
      <c r="AA82" s="46">
        <f>SUM(B82:M82)</f>
        <v>966833.3333333334</v>
      </c>
      <c r="AB82" s="46">
        <f>SUM(B82:Y82)</f>
        <v>966833.3333333334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123833.3333333333</v>
      </c>
      <c r="C85" s="46">
        <f>IF(Calculations!$E25&gt;COUNT(Output!$B$35:C$35),Calculations!$B25,IF(Calculations!$E25=COUNT(Output!$B$35:C$35),Inputs!$B58-Calculations!$C25*(Calculations!$E25-1)+Calculations!$D25,0))</f>
        <v>123833.3333333333</v>
      </c>
      <c r="D85" s="46">
        <f>IF(Calculations!$E25&gt;COUNT(Output!$B$35:D$35),Calculations!$B25,IF(Calculations!$E25=COUNT(Output!$B$35:D$35),Inputs!$B58-Calculations!$C25*(Calculations!$E25-1)+Calculations!$D25,0))</f>
        <v>123833.3333333333</v>
      </c>
      <c r="E85" s="46">
        <f>IF(Calculations!$E25&gt;COUNT(Output!$B$35:E$35),Calculations!$B25,IF(Calculations!$E25=COUNT(Output!$B$35:E$35),Inputs!$B58-Calculations!$C25*(Calculations!$E25-1)+Calculations!$D25,0))</f>
        <v>123833.3333333333</v>
      </c>
      <c r="F85" s="46">
        <f>IF(Calculations!$E25&gt;COUNT(Output!$B$35:F$35),Calculations!$B25,IF(Calculations!$E25=COUNT(Output!$B$35:F$35),Inputs!$B58-Calculations!$C25*(Calculations!$E25-1)+Calculations!$D25,0))</f>
        <v>123833.3333333333</v>
      </c>
      <c r="G85" s="46">
        <f>IF(Calculations!$E25&gt;COUNT(Output!$B$35:G$35),Calculations!$B25,IF(Calculations!$E25=COUNT(Output!$B$35:G$35),Inputs!$B58-Calculations!$C25*(Calculations!$E25-1)+Calculations!$D25,0))</f>
        <v>123833.3333333333</v>
      </c>
      <c r="H85" s="46">
        <f>IF(Calculations!$E25&gt;COUNT(Output!$B$35:H$35),Calculations!$B25,IF(Calculations!$E25=COUNT(Output!$B$35:H$35),Inputs!$B58-Calculations!$C25*(Calculations!$E25-1)+Calculations!$D25,0))</f>
        <v>223833.3333333333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966833.3333333334</v>
      </c>
      <c r="AA85" s="46">
        <f>SUM(B85:M85)</f>
        <v>966833.3333333334</v>
      </c>
      <c r="AB85" s="46">
        <f>SUM(B85:Y85)</f>
        <v>966833.3333333334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255748.6205890098</v>
      </c>
      <c r="C88" s="19">
        <f>SUM(C72:C82,C66,C60,C54,C48,C42,C36)</f>
        <v>255748.6205890098</v>
      </c>
      <c r="D88" s="19">
        <f>SUM(D72:D82,D66,D60,D54,D48,D42,D36)</f>
        <v>255748.6205890098</v>
      </c>
      <c r="E88" s="19">
        <f>SUM(E72:E82,E66,E60,E54,E48,E42,E36)</f>
        <v>255748.6205890098</v>
      </c>
      <c r="F88" s="19">
        <f>SUM(F72:F82,F66,F60,F54,F48,F42,F36)</f>
        <v>255748.6205890098</v>
      </c>
      <c r="G88" s="19">
        <f>SUM(G72:G82,G66,G60,G54,G48,G42,G36)</f>
        <v>255748.6205890098</v>
      </c>
      <c r="H88" s="19">
        <f>SUM(H72:H82,H66,H60,H54,H48,H42,H36)</f>
        <v>355748.6205890099</v>
      </c>
      <c r="I88" s="19">
        <f>SUM(I72:I82,I66,I60,I54,I48,I42,I36)</f>
        <v>131915.2872556765</v>
      </c>
      <c r="J88" s="19">
        <f>SUM(J72:J82,J66,J60,J54,J48,J42,J36)</f>
        <v>131915.2872556765</v>
      </c>
      <c r="K88" s="19">
        <f>SUM(K72:K82,K66,K60,K54,K48,K42,K36)</f>
        <v>131915.2872556765</v>
      </c>
      <c r="L88" s="19">
        <f>SUM(L72:L82,L66,L60,L54,L48,L42,L36)</f>
        <v>131915.2872556765</v>
      </c>
      <c r="M88" s="19">
        <f>SUM(M72:M82,M66,M60,M54,M48,M42,M36)</f>
        <v>131915.2872556765</v>
      </c>
      <c r="N88" s="19">
        <f>SUM(N72:N82,N66,N60,N54,N48,N42,N36)</f>
        <v>131915.2872556765</v>
      </c>
      <c r="O88" s="19">
        <f>SUM(O72:O82,O66,O60,O54,O48,O42,O36)</f>
        <v>131915.2872556765</v>
      </c>
      <c r="P88" s="19">
        <f>SUM(P72:P82,P66,P60,P54,P48,P42,P36)</f>
        <v>131915.2872556765</v>
      </c>
      <c r="Q88" s="19">
        <f>SUM(Q72:Q82,Q66,Q60,Q54,Q48,Q42,Q36)</f>
        <v>131915.2872556765</v>
      </c>
      <c r="R88" s="19">
        <f>SUM(R72:R82,R66,R60,R54,R48,R42,R36)</f>
        <v>131915.2872556765</v>
      </c>
      <c r="S88" s="19">
        <f>SUM(S72:S82,S66,S60,S54,S48,S42,S36)</f>
        <v>131915.2872556765</v>
      </c>
      <c r="T88" s="19">
        <f>SUM(T72:T82,T66,T60,T54,T48,T42,T36)</f>
        <v>131915.2872556765</v>
      </c>
      <c r="U88" s="19">
        <f>SUM(U72:U82,U66,U60,U54,U48,U42,U36)</f>
        <v>131915.2872556765</v>
      </c>
      <c r="V88" s="19">
        <f>SUM(V72:V82,V66,V60,V54,V48,V42,V36)</f>
        <v>131915.2872556765</v>
      </c>
      <c r="W88" s="19">
        <f>SUM(W72:W82,W66,W60,W54,W48,W42,W36)</f>
        <v>131915.2872556765</v>
      </c>
      <c r="X88" s="19">
        <f>SUM(X72:X82,X66,X60,X54,X48,X42,X36)</f>
        <v>131915.2872556765</v>
      </c>
      <c r="Y88" s="19">
        <f>SUM(Y72:Y82,Y66,Y60,Y54,Y48,Y42,Y36)</f>
        <v>131915.2872556765</v>
      </c>
      <c r="Z88" s="19">
        <f>SUMIF($B$13:$Y$13,"Yes",B88:Y88)</f>
        <v>2681732.067657128</v>
      </c>
      <c r="AA88" s="19">
        <f>SUM(B88:M88)</f>
        <v>2549816.780401452</v>
      </c>
      <c r="AB88" s="19">
        <f>SUM(B88:Y88)</f>
        <v>4132800.227469569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1100000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69875000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2000000</v>
      </c>
    </row>
    <row r="100" spans="1:30" customHeight="1" ht="15.75">
      <c r="A100" s="18" t="s">
        <v>66</v>
      </c>
      <c r="B100" s="37">
        <f>Inputs!B48</f>
        <v>25000</v>
      </c>
    </row>
    <row r="101" spans="1:30" customHeight="1" ht="15.75">
      <c r="A101" s="1" t="s">
        <v>67</v>
      </c>
      <c r="B101" s="19">
        <f>SUM(B94:B100)</f>
        <v>75600000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800000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905000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3</v>
      </c>
      <c r="D8" s="16"/>
      <c r="E8" s="147" t="s">
        <v>90</v>
      </c>
      <c r="F8" s="149" t="s">
        <v>92</v>
      </c>
      <c r="G8" s="147"/>
      <c r="H8" s="147" t="s">
        <v>92</v>
      </c>
      <c r="I8" s="147" t="s">
        <v>92</v>
      </c>
      <c r="J8" s="148" t="s">
        <v>95</v>
      </c>
      <c r="K8" s="138"/>
      <c r="L8" s="16"/>
      <c r="M8" s="165">
        <v>10</v>
      </c>
      <c r="N8" s="154">
        <v>0</v>
      </c>
    </row>
    <row r="9" spans="1:48">
      <c r="A9" s="143" t="s">
        <v>96</v>
      </c>
      <c r="B9" s="16"/>
      <c r="C9" s="143">
        <v>5</v>
      </c>
      <c r="D9" s="16"/>
      <c r="E9" s="147" t="s">
        <v>90</v>
      </c>
      <c r="F9" s="149" t="s">
        <v>97</v>
      </c>
      <c r="G9" s="147"/>
      <c r="H9" s="147" t="s">
        <v>98</v>
      </c>
      <c r="I9" s="147" t="s">
        <v>99</v>
      </c>
      <c r="J9" s="148" t="s">
        <v>93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4</v>
      </c>
      <c r="D19" s="145">
        <v>3</v>
      </c>
      <c r="E19" s="20"/>
      <c r="F19" s="145" t="s">
        <v>98</v>
      </c>
      <c r="G19" s="20"/>
      <c r="H19" s="20"/>
      <c r="I19" s="145" t="s">
        <v>114</v>
      </c>
      <c r="J19" s="145">
        <v>10</v>
      </c>
      <c r="K19" s="145"/>
      <c r="L19" s="25"/>
    </row>
    <row r="20" spans="1:48">
      <c r="A20" s="143" t="s">
        <v>115</v>
      </c>
      <c r="B20" s="16"/>
      <c r="C20" s="143">
        <v>300</v>
      </c>
      <c r="D20" s="147"/>
      <c r="E20" s="16"/>
      <c r="F20" s="147" t="s">
        <v>98</v>
      </c>
      <c r="G20" s="16"/>
      <c r="H20" s="16"/>
      <c r="I20" s="147" t="s">
        <v>116</v>
      </c>
      <c r="J20" s="147"/>
      <c r="K20" s="147"/>
      <c r="L20" s="30"/>
    </row>
    <row r="21" spans="1:48">
      <c r="A21" s="144" t="s">
        <v>117</v>
      </c>
      <c r="B21" s="23"/>
      <c r="C21" s="144">
        <v>500</v>
      </c>
      <c r="D21" s="150">
        <v>300</v>
      </c>
      <c r="E21" s="23"/>
      <c r="F21" s="150" t="s">
        <v>98</v>
      </c>
      <c r="G21" s="23"/>
      <c r="H21" s="23"/>
      <c r="I21" s="150" t="s">
        <v>116</v>
      </c>
      <c r="J21" s="150">
        <v>5</v>
      </c>
      <c r="K21" s="150">
        <v>10</v>
      </c>
      <c r="L21" s="31">
        <v>1</v>
      </c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50</v>
      </c>
    </row>
    <row r="27" spans="1:48">
      <c r="A27" s="14" t="s">
        <v>120</v>
      </c>
    </row>
    <row r="29" spans="1:48">
      <c r="A29" s="45" t="s">
        <v>121</v>
      </c>
      <c r="B29" s="156" t="s">
        <v>122</v>
      </c>
    </row>
    <row r="30" spans="1:48">
      <c r="A30" s="44" t="s">
        <v>123</v>
      </c>
      <c r="B30" s="157">
        <v>25000</v>
      </c>
    </row>
    <row r="31" spans="1:48">
      <c r="A31" s="5" t="s">
        <v>124</v>
      </c>
      <c r="B31" s="158">
        <v>5000</v>
      </c>
    </row>
    <row r="33" spans="1:48">
      <c r="A33" s="14" t="s">
        <v>125</v>
      </c>
    </row>
    <row r="34" spans="1:48">
      <c r="A34" s="10" t="s">
        <v>126</v>
      </c>
      <c r="B34" s="10" t="s">
        <v>127</v>
      </c>
      <c r="C34" s="10" t="s">
        <v>128</v>
      </c>
      <c r="D34" s="48" t="s">
        <v>129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98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98</v>
      </c>
    </row>
    <row r="45" spans="1:48">
      <c r="A45" s="56" t="s">
        <v>137</v>
      </c>
      <c r="B45" s="161">
        <v>2500000</v>
      </c>
    </row>
    <row r="46" spans="1:48" customHeight="1" ht="30">
      <c r="A46" s="57" t="s">
        <v>138</v>
      </c>
      <c r="B46" s="161">
        <v>2000000</v>
      </c>
    </row>
    <row r="47" spans="1:48" customHeight="1" ht="30">
      <c r="A47" s="57" t="s">
        <v>139</v>
      </c>
      <c r="B47" s="161">
        <v>50000</v>
      </c>
    </row>
    <row r="48" spans="1:48" customHeight="1" ht="30">
      <c r="A48" s="57" t="s">
        <v>140</v>
      </c>
      <c r="B48" s="161">
        <v>25000</v>
      </c>
    </row>
    <row r="49" spans="1:48" customHeight="1" ht="30">
      <c r="A49" s="57" t="s">
        <v>141</v>
      </c>
      <c r="B49" s="161">
        <v>50000</v>
      </c>
    </row>
    <row r="50" spans="1:48">
      <c r="A50" s="43"/>
      <c r="B50" s="36"/>
    </row>
    <row r="51" spans="1:48">
      <c r="A51" s="58" t="s">
        <v>142</v>
      </c>
      <c r="B51" s="161">
        <v>5000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150000</v>
      </c>
      <c r="B56" s="159">
        <v>0</v>
      </c>
      <c r="C56" s="162" t="s">
        <v>150</v>
      </c>
      <c r="D56" s="163" t="s">
        <v>151</v>
      </c>
      <c r="E56" s="163" t="s">
        <v>98</v>
      </c>
      <c r="F56" s="163" t="s">
        <v>152</v>
      </c>
    </row>
    <row r="57" spans="1:48">
      <c r="A57" s="157">
        <v>100000</v>
      </c>
      <c r="B57" s="157">
        <v>0</v>
      </c>
      <c r="C57" s="164" t="s">
        <v>153</v>
      </c>
      <c r="D57" s="165" t="s">
        <v>154</v>
      </c>
      <c r="E57" s="165" t="s">
        <v>98</v>
      </c>
      <c r="F57" s="165" t="s">
        <v>155</v>
      </c>
    </row>
    <row r="58" spans="1:48">
      <c r="A58" s="157">
        <v>1300000</v>
      </c>
      <c r="B58" s="157">
        <v>800000</v>
      </c>
      <c r="C58" s="164" t="s">
        <v>156</v>
      </c>
      <c r="D58" s="165" t="s">
        <v>157</v>
      </c>
      <c r="E58" s="165" t="s">
        <v>98</v>
      </c>
      <c r="F58" s="165" t="s">
        <v>158</v>
      </c>
    </row>
    <row r="59" spans="1:48">
      <c r="A59" s="157">
        <v>130000</v>
      </c>
      <c r="B59" s="157">
        <v>0</v>
      </c>
      <c r="C59" s="164" t="s">
        <v>159</v>
      </c>
      <c r="D59" s="165" t="s">
        <v>151</v>
      </c>
      <c r="E59" s="165" t="s">
        <v>98</v>
      </c>
      <c r="F59" s="165" t="s">
        <v>152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129</v>
      </c>
      <c r="B65" s="10" t="s">
        <v>161</v>
      </c>
      <c r="C65" s="10" t="s">
        <v>162</v>
      </c>
    </row>
    <row r="66" spans="1:48">
      <c r="A66" s="142" t="s">
        <v>163</v>
      </c>
      <c r="B66" s="159">
        <v>95151</v>
      </c>
      <c r="C66" s="163">
        <v>85120</v>
      </c>
      <c r="D66" s="49">
        <f>INDEX(Parameters!$D$79:$D$90,MATCH(Inputs!A66,Parameters!$C$79:$C$90,0))</f>
        <v>12</v>
      </c>
    </row>
    <row r="67" spans="1:48">
      <c r="A67" s="143" t="s">
        <v>164</v>
      </c>
      <c r="B67" s="157">
        <v>84110</v>
      </c>
      <c r="C67" s="165">
        <v>71320</v>
      </c>
      <c r="D67" s="49">
        <f>INDEX(Parameters!$D$79:$D$90,MATCH(Inputs!A67,Parameters!$C$79:$C$90,0))</f>
        <v>11</v>
      </c>
    </row>
    <row r="68" spans="1:48">
      <c r="A68" s="143" t="s">
        <v>165</v>
      </c>
      <c r="B68" s="157">
        <v>102120</v>
      </c>
      <c r="C68" s="165">
        <v>85120</v>
      </c>
      <c r="D68" s="49">
        <f>INDEX(Parameters!$D$79:$D$90,MATCH(Inputs!A68,Parameters!$C$79:$C$90,0))</f>
        <v>10</v>
      </c>
    </row>
    <row r="69" spans="1:48">
      <c r="A69" s="143" t="s">
        <v>166</v>
      </c>
      <c r="B69" s="157">
        <v>85120</v>
      </c>
      <c r="C69" s="165">
        <v>72540</v>
      </c>
      <c r="D69" s="49">
        <f>INDEX(Parameters!$D$79:$D$90,MATCH(Inputs!A69,Parameters!$C$79:$C$90,0))</f>
        <v>9</v>
      </c>
    </row>
    <row r="70" spans="1:48">
      <c r="A70" s="143" t="s">
        <v>167</v>
      </c>
      <c r="B70" s="157">
        <v>90421</v>
      </c>
      <c r="C70" s="165">
        <v>80120</v>
      </c>
      <c r="D70" s="49">
        <f>INDEX(Parameters!$D$79:$D$90,MATCH(Inputs!A70,Parameters!$C$79:$C$90,0))</f>
        <v>8</v>
      </c>
    </row>
    <row r="71" spans="1:48">
      <c r="A71" s="144" t="s">
        <v>168</v>
      </c>
      <c r="B71" s="158">
        <v>120140</v>
      </c>
      <c r="C71" s="167">
        <v>81200</v>
      </c>
      <c r="D71" s="49">
        <f>INDEX(Parameters!$D$79:$D$90,MATCH(Inputs!A71,Parameters!$C$79:$C$90,0))</f>
        <v>7</v>
      </c>
    </row>
    <row r="73" spans="1:48">
      <c r="A73" s="3" t="s">
        <v>169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170</v>
      </c>
      <c r="B75" s="161">
        <v>13</v>
      </c>
    </row>
    <row r="76" spans="1:48">
      <c r="A76" t="s">
        <v>171</v>
      </c>
      <c r="B76" s="168" t="s">
        <v>172</v>
      </c>
    </row>
    <row r="78" spans="1:48" customHeight="1" ht="20.25">
      <c r="B78" s="127" t="s">
        <v>173</v>
      </c>
    </row>
    <row r="79" spans="1:48">
      <c r="A79" t="s">
        <v>174</v>
      </c>
      <c r="B79" s="168" t="s">
        <v>172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175</v>
      </c>
      <c r="B80" s="168" t="s">
        <v>176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177</v>
      </c>
      <c r="B81" s="161">
        <v>100000</v>
      </c>
    </row>
    <row r="82" spans="1:48">
      <c r="A82" t="s">
        <v>178</v>
      </c>
      <c r="B82" s="161">
        <v>20</v>
      </c>
    </row>
    <row r="83" spans="1:48">
      <c r="A83" t="s">
        <v>179</v>
      </c>
      <c r="B83" s="169" t="s">
        <v>180</v>
      </c>
    </row>
    <row r="84" spans="1:48">
      <c r="A84" t="s">
        <v>181</v>
      </c>
      <c r="B84" s="169">
        <v>1</v>
      </c>
    </row>
    <row r="85" spans="1:48">
      <c r="A85" t="s">
        <v>182</v>
      </c>
      <c r="B85" s="169">
        <v>12</v>
      </c>
    </row>
    <row r="86" spans="1:48">
      <c r="A86" t="s">
        <v>183</v>
      </c>
      <c r="B86" s="161"/>
    </row>
    <row r="87" spans="1:48">
      <c r="A87" t="s">
        <v>184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185</v>
      </c>
      <c r="C3" s="15" t="s">
        <v>186</v>
      </c>
      <c r="D3" s="15" t="s">
        <v>187</v>
      </c>
      <c r="E3" s="15" t="s">
        <v>188</v>
      </c>
      <c r="F3" s="15" t="s">
        <v>189</v>
      </c>
      <c r="G3" s="15" t="s">
        <v>190</v>
      </c>
      <c r="H3" s="15" t="s">
        <v>191</v>
      </c>
      <c r="I3" s="15" t="s">
        <v>192</v>
      </c>
      <c r="J3" s="15" t="s">
        <v>193</v>
      </c>
      <c r="K3" s="15" t="s">
        <v>194</v>
      </c>
      <c r="L3" s="15" t="s">
        <v>195</v>
      </c>
      <c r="M3" s="15" t="s">
        <v>196</v>
      </c>
      <c r="N3" s="15" t="s">
        <v>197</v>
      </c>
      <c r="O3" s="15" t="s">
        <v>198</v>
      </c>
      <c r="P3" s="15" t="s">
        <v>199</v>
      </c>
      <c r="Q3" s="32" t="s">
        <v>200</v>
      </c>
      <c r="R3" s="15" t="s">
        <v>201</v>
      </c>
      <c r="S3" s="15" t="s">
        <v>202</v>
      </c>
      <c r="T3" s="15" t="s">
        <v>203</v>
      </c>
      <c r="U3" s="178" t="s">
        <v>87</v>
      </c>
      <c r="V3" s="32" t="s">
        <v>204</v>
      </c>
      <c r="W3" s="32" t="s">
        <v>205</v>
      </c>
      <c r="X3" s="32" t="s">
        <v>206</v>
      </c>
      <c r="Y3" s="32" t="s">
        <v>207</v>
      </c>
      <c r="Z3" s="32" t="s">
        <v>43</v>
      </c>
      <c r="AA3" s="32" t="s">
        <v>208</v>
      </c>
      <c r="AB3" s="32" t="s">
        <v>209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Tea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839.7170547214236</v>
      </c>
      <c r="M4" s="25">
        <f>L4*H4</f>
        <v>4198.585273607117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32.2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128434.7235196417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0.6956521739130435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Coffee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190.9765864946637</v>
      </c>
      <c r="M5" s="30">
        <f>L5*H5</f>
        <v>572.9297594839912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44.8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46201.05580478905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37500</v>
      </c>
      <c r="AC5" s="22">
        <f>IF($A5=0,1/12,IFERROR(INDEX(Parameters!$X$2:$AI$17,MATCH(Calculations!$A5,Parameters!$A$2:$A$17,0),MONTH(Calculations!AC$3)),1/12))</f>
        <v>0.1282051282051282</v>
      </c>
      <c r="AD5" s="22">
        <f>IF($A5=0,1/12,IFERROR(INDEX(Parameters!$X$2:$AI$17,MATCH(Calculations!$A5,Parameters!$A$2:$A$17,0),MONTH(Calculations!AD$3)),1/12))</f>
        <v>0.1282051282051282</v>
      </c>
      <c r="AE5" s="22">
        <f>IF($A5=0,1/12,IFERROR(INDEX(Parameters!$X$2:$AI$17,MATCH(Calculations!$A5,Parameters!$A$2:$A$17,0),MONTH(Calculations!AE$3)),1/12))</f>
        <v>0.1025641025641026</v>
      </c>
      <c r="AF5" s="22">
        <f>IF($A5=0,1/12,IFERROR(INDEX(Parameters!$X$2:$AI$17,MATCH(Calculations!$A5,Parameters!$A$2:$A$17,0),MONTH(Calculations!AF$3)),1/12))</f>
        <v>0.05128205128205128</v>
      </c>
      <c r="AG5" s="22">
        <f>IF($A5=0,1/12,IFERROR(INDEX(Parameters!$X$2:$AI$17,MATCH(Calculations!$A5,Parameters!$A$2:$A$17,0),MONTH(Calculations!AG$3)),1/12))</f>
        <v>0</v>
      </c>
      <c r="AH5" s="22">
        <f>IF($A5=0,1/12,IFERROR(INDEX(Parameters!$X$2:$AI$17,MATCH(Calculations!$A5,Parameters!$A$2:$A$17,0),MONTH(Calculations!AH$3)),1/12))</f>
        <v>0.1282051282051282</v>
      </c>
      <c r="AI5" s="22">
        <f>IF($A5=0,1/12,IFERROR(INDEX(Parameters!$X$2:$AI$17,MATCH(Calculations!$A5,Parameters!$A$2:$A$17,0),MONTH(Calculations!AI$3)),1/12))</f>
        <v>0.1282051282051282</v>
      </c>
      <c r="AJ5" s="22">
        <f>IF($A5=0,1/12,IFERROR(INDEX(Parameters!$X$2:$AI$17,MATCH(Calculations!$A5,Parameters!$A$2:$A$17,0),MONTH(Calculations!AJ$3)),1/12))</f>
        <v>0.05128205128205128</v>
      </c>
      <c r="AK5" s="22">
        <f>IF($A5=0,1/12,IFERROR(INDEX(Parameters!$X$2:$AI$17,MATCH(Calculations!$A5,Parameters!$A$2:$A$17,0),MONTH(Calculations!AK$3)),1/12))</f>
        <v>0</v>
      </c>
      <c r="AL5" s="22">
        <f>IF($A5=0,1/12,IFERROR(INDEX(Parameters!$X$2:$AI$17,MATCH(Calculations!$A5,Parameters!$A$2:$A$17,0),MONTH(Calculations!AL$3)),1/12))</f>
        <v>0.05128205128205128</v>
      </c>
      <c r="AM5" s="22">
        <f>IF($A5=0,1/12,IFERROR(INDEX(Parameters!$X$2:$AI$17,MATCH(Calculations!$A5,Parameters!$A$2:$A$17,0),MONTH(Calculations!AM$3)),1/12))</f>
        <v>0.1025641025641026</v>
      </c>
      <c r="AN5" s="22">
        <f>IF($A5=0,1/12,IFERROR(INDEX(Parameters!$X$2:$AI$17,MATCH(Calculations!$A5,Parameters!$A$2:$A$17,0),MONTH(Calculations!AN$3)),1/12))</f>
        <v>0.1282051282051282</v>
      </c>
      <c r="AO5" s="22">
        <f>IF($A5=0,1/12,IFERROR(INDEX(Parameters!$X$2:$AI$17,MATCH(Calculations!$A5,Parameters!$A$2:$A$17,0),MONTH(Calculations!AO$3)),1/12))</f>
        <v>0.1282051282051282</v>
      </c>
      <c r="AP5" s="22">
        <f>IF($A5=0,1/12,IFERROR(INDEX(Parameters!$X$2:$AI$17,MATCH(Calculations!$A5,Parameters!$A$2:$A$17,0),MONTH(Calculations!AP$3)),1/12))</f>
        <v>0.1282051282051282</v>
      </c>
      <c r="AQ5" s="22">
        <f>IF($A5=0,1/12,IFERROR(INDEX(Parameters!$X$2:$AI$17,MATCH(Calculations!$A5,Parameters!$A$2:$A$17,0),MONTH(Calculations!AQ$3)),1/12))</f>
        <v>0.1025641025641026</v>
      </c>
      <c r="AR5" s="22">
        <f>IF($A5=0,1/12,IFERROR(INDEX(Parameters!$X$2:$AI$17,MATCH(Calculations!$A5,Parameters!$A$2:$A$17,0),MONTH(Calculations!AR$3)),1/12))</f>
        <v>0.05128205128205128</v>
      </c>
      <c r="AS5" s="22">
        <f>IF($A5=0,1/12,IFERROR(INDEX(Parameters!$X$2:$AI$17,MATCH(Calculations!$A5,Parameters!$A$2:$A$17,0),MONTH(Calculations!AS$3)),1/12))</f>
        <v>0</v>
      </c>
      <c r="AT5" s="22">
        <f>IF($A5=0,1/12,IFERROR(INDEX(Parameters!$X$2:$AI$17,MATCH(Calculations!$A5,Parameters!$A$2:$A$17,0),MONTH(Calculations!AT$3)),1/12))</f>
        <v>0.1282051282051282</v>
      </c>
      <c r="AU5" s="22">
        <f>IF($A5=0,1/12,IFERROR(INDEX(Parameters!$X$2:$AI$17,MATCH(Calculations!$A5,Parameters!$A$2:$A$17,0),MONTH(Calculations!AU$3)),1/12))</f>
        <v>0.1282051282051282</v>
      </c>
      <c r="AV5" s="22">
        <f>IF($A5=0,1/12,IFERROR(INDEX(Parameters!$X$2:$AI$17,MATCH(Calculations!$A5,Parameters!$A$2:$A$17,0),MONTH(Calculations!AV$3)),1/12))</f>
        <v>0.05128205128205128</v>
      </c>
      <c r="AW5" s="22">
        <f>IF($A5=0,1/12,IFERROR(INDEX(Parameters!$X$2:$AI$17,MATCH(Calculations!$A5,Parameters!$A$2:$A$17,0),MONTH(Calculations!AW$3)),1/12))</f>
        <v>0</v>
      </c>
      <c r="AX5" s="22">
        <f>IF($A5=0,1/12,IFERROR(INDEX(Parameters!$X$2:$AI$17,MATCH(Calculations!$A5,Parameters!$A$2:$A$17,0),MONTH(Calculations!AX$3)),1/12))</f>
        <v>0.05128205128205128</v>
      </c>
      <c r="AY5" s="22">
        <f>IF($A5=0,1/12,IFERROR(INDEX(Parameters!$X$2:$AI$17,MATCH(Calculations!$A5,Parameters!$A$2:$A$17,0),MONTH(Calculations!AY$3)),1/12))</f>
        <v>0.1025641025641026</v>
      </c>
      <c r="AZ5" s="22">
        <f>IF($A5=0,1/12,IFERROR(INDEX(Parameters!$X$2:$AI$17,MATCH(Calculations!$A5,Parameters!$A$2:$A$17,0),MONTH(Calculations!AZ$3)),1/12))</f>
        <v>0.1282051282051282</v>
      </c>
    </row>
    <row r="6" spans="1:52" s="21" customFormat="1">
      <c r="A6" s="16" t="str">
        <f>Inputs!A9</f>
        <v>Bananas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5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11500</v>
      </c>
      <c r="M6" s="30">
        <f>L6*H6</f>
        <v>57500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1147125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10000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10000</v>
      </c>
      <c r="Z6" s="34">
        <f>IF(Inputs!I9=Parameters!$F$78,H6*INDEX(Parameters!$A$3:$AI$18,MATCH(Calculations!A6,Parameters!$A$3:$A$18,0),MATCH(Parameters!$Q$3,Parameters!$A$3:$AI$3,0)),0)</f>
        <v>35000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31250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210</v>
      </c>
      <c r="D13" s="15" t="s">
        <v>211</v>
      </c>
      <c r="E13" s="15" t="s">
        <v>212</v>
      </c>
      <c r="F13" s="15" t="s">
        <v>213</v>
      </c>
      <c r="G13" s="15" t="s">
        <v>214</v>
      </c>
      <c r="H13" s="15" t="s">
        <v>215</v>
      </c>
      <c r="I13" s="15" t="s">
        <v>216</v>
      </c>
      <c r="J13" s="15" t="s">
        <v>217</v>
      </c>
      <c r="K13" s="15" t="s">
        <v>218</v>
      </c>
      <c r="L13" s="15" t="s">
        <v>219</v>
      </c>
      <c r="M13" s="178" t="s">
        <v>220</v>
      </c>
      <c r="N13" s="178" t="s">
        <v>221</v>
      </c>
      <c r="O13" s="62" t="s">
        <v>222</v>
      </c>
      <c r="P13" s="62" t="s">
        <v>223</v>
      </c>
      <c r="Q13" s="62" t="s">
        <v>224</v>
      </c>
      <c r="R13" s="62" t="s">
        <v>225</v>
      </c>
      <c r="S13" s="62" t="s">
        <v>226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739125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300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1.2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720000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14400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500</v>
      </c>
      <c r="E16" s="16">
        <f>Inputs!D21</f>
        <v>300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0.4511278195488722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0.05</v>
      </c>
      <c r="N16" s="130">
        <f>Inputs!K21/100</f>
        <v>0.1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375428.5714285714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4266.666666666667</v>
      </c>
      <c r="S16" s="64">
        <f>IFERROR(D16*INDEX(Parameters!$A$22:$P$29,MATCH(Calculations!$A16,Parameters!$A$22:$A$29,0),MATCH(Parameters!$N$22,Parameters!$A$22:$P$22,0)),"")</f>
        <v>34304.51127819548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75000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227</v>
      </c>
      <c r="C22" s="74" t="s">
        <v>228</v>
      </c>
      <c r="D22" s="74" t="s">
        <v>229</v>
      </c>
      <c r="E22" s="74" t="s">
        <v>230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1300000</v>
      </c>
      <c r="B25" s="46">
        <f>SUM(C25:D25)</f>
        <v>123833.3333333333</v>
      </c>
      <c r="C25" s="46">
        <f>IF(Inputs!B58&gt;0,(Inputs!A58-Inputs!B58)/(DATE(YEAR(Inputs!$B$76),MONTH(Inputs!$B$76),DAY(Inputs!$B$76))-DATE(YEAR(Inputs!C58),MONTH(Inputs!C58),DAY(Inputs!C58)))*30,0)</f>
        <v>100000</v>
      </c>
      <c r="D25" s="46">
        <f>IF(Inputs!B58&gt;0,Inputs!A58*0.22/12,0)</f>
        <v>23833.33333333333</v>
      </c>
      <c r="E25" s="46">
        <f>IFERROR(ROUNDUP(Inputs!B58/B25,0),0)</f>
        <v>7</v>
      </c>
    </row>
    <row r="26" spans="1:52">
      <c r="A26" s="46">
        <f>Inputs!A59</f>
        <v>130000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232</v>
      </c>
      <c r="B32" s="129" t="s">
        <v>233</v>
      </c>
      <c r="C32" s="129" t="s">
        <v>234</v>
      </c>
      <c r="D32" s="129" t="s">
        <v>235</v>
      </c>
      <c r="F32" s="132" t="s">
        <v>236</v>
      </c>
      <c r="G32" s="132" t="s">
        <v>237</v>
      </c>
      <c r="I32" s="174" t="s">
        <v>238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43147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174</v>
      </c>
      <c r="G33" s="128">
        <f>IF(Inputs!B79="","",DATE(YEAR(Inputs!B79),MONTH(Inputs!B79),DAY(Inputs!B79)))</f>
        <v>43104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175</v>
      </c>
      <c r="G34" s="128">
        <f>IF(Inputs!B80="","",DATE(YEAR(Inputs!B80),MONTH(Inputs!B80),DAY(Inputs!B80)))</f>
        <v>43147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177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43236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178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239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43297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240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183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184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43389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241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242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43450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43481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243</v>
      </c>
      <c r="C3" s="10" t="s">
        <v>244</v>
      </c>
      <c r="D3" s="10" t="s">
        <v>245</v>
      </c>
      <c r="E3" s="10" t="s">
        <v>246</v>
      </c>
      <c r="F3" s="10" t="s">
        <v>247</v>
      </c>
      <c r="G3" s="10" t="s">
        <v>248</v>
      </c>
      <c r="H3" s="10" t="s">
        <v>249</v>
      </c>
      <c r="I3" s="10" t="s">
        <v>250</v>
      </c>
      <c r="J3" s="10" t="s">
        <v>251</v>
      </c>
      <c r="K3" s="10" t="s">
        <v>252</v>
      </c>
      <c r="L3" s="10" t="s">
        <v>253</v>
      </c>
      <c r="M3" s="10" t="s">
        <v>254</v>
      </c>
      <c r="N3" s="10" t="s">
        <v>255</v>
      </c>
      <c r="O3" s="10" t="s">
        <v>256</v>
      </c>
      <c r="P3" s="10" t="s">
        <v>257</v>
      </c>
      <c r="Q3" s="10" t="s">
        <v>258</v>
      </c>
      <c r="R3" s="10" t="s">
        <v>259</v>
      </c>
      <c r="S3" s="10" t="s">
        <v>260</v>
      </c>
      <c r="T3" s="10" t="s">
        <v>261</v>
      </c>
      <c r="U3" s="10" t="s">
        <v>201</v>
      </c>
      <c r="V3" s="10" t="s">
        <v>199</v>
      </c>
      <c r="W3" s="10" t="s">
        <v>262</v>
      </c>
      <c r="X3" s="10" t="s">
        <v>263</v>
      </c>
      <c r="Y3" s="10" t="s">
        <v>264</v>
      </c>
      <c r="Z3" s="10" t="s">
        <v>265</v>
      </c>
      <c r="AA3" s="10" t="s">
        <v>266</v>
      </c>
      <c r="AB3" s="10" t="s">
        <v>267</v>
      </c>
      <c r="AC3" s="10" t="s">
        <v>268</v>
      </c>
      <c r="AD3" s="10" t="s">
        <v>269</v>
      </c>
      <c r="AE3" s="10" t="s">
        <v>270</v>
      </c>
      <c r="AF3" s="10" t="s">
        <v>271</v>
      </c>
      <c r="AG3" s="10" t="s">
        <v>272</v>
      </c>
      <c r="AH3" s="10" t="s">
        <v>273</v>
      </c>
      <c r="AI3" s="10" t="s">
        <v>274</v>
      </c>
    </row>
    <row r="4" spans="1:36" s="93" customFormat="1">
      <c r="A4" s="93" t="s">
        <v>96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89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290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291</v>
      </c>
      <c r="C22" s="10" t="s">
        <v>292</v>
      </c>
      <c r="D22" s="10" t="s">
        <v>293</v>
      </c>
      <c r="E22" s="10" t="s">
        <v>294</v>
      </c>
      <c r="F22" s="10" t="s">
        <v>295</v>
      </c>
      <c r="G22" s="10" t="s">
        <v>296</v>
      </c>
      <c r="H22" s="10" t="s">
        <v>297</v>
      </c>
      <c r="I22" s="10" t="s">
        <v>215</v>
      </c>
      <c r="J22" s="10" t="s">
        <v>298</v>
      </c>
      <c r="K22" s="10" t="s">
        <v>299</v>
      </c>
      <c r="L22" s="10" t="s">
        <v>300</v>
      </c>
      <c r="M22" s="10" t="s">
        <v>301</v>
      </c>
      <c r="N22" s="10" t="s">
        <v>302</v>
      </c>
      <c r="O22" s="10" t="s">
        <v>303</v>
      </c>
      <c r="P22" s="10" t="s">
        <v>304</v>
      </c>
    </row>
    <row r="23" spans="1:36" s="21" customFormat="1">
      <c r="A23" s="21" t="s">
        <v>117</v>
      </c>
      <c r="B23" s="21" t="s">
        <v>305</v>
      </c>
      <c r="C23" s="72" t="s">
        <v>306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115</v>
      </c>
      <c r="B24" s="21" t="s">
        <v>307</v>
      </c>
      <c r="C24" s="116" t="s">
        <v>276</v>
      </c>
      <c r="D24" s="115" t="s">
        <v>276</v>
      </c>
      <c r="E24" s="106">
        <v>0.05</v>
      </c>
      <c r="F24" s="106">
        <v>0.1</v>
      </c>
      <c r="G24" s="106">
        <v>0.2</v>
      </c>
      <c r="H24" s="116" t="s">
        <v>276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308</v>
      </c>
      <c r="C25" s="30" t="s">
        <v>309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276</v>
      </c>
      <c r="J25" s="72" t="s">
        <v>276</v>
      </c>
      <c r="K25" s="72" t="s">
        <v>276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310</v>
      </c>
      <c r="B26" s="16" t="s">
        <v>307</v>
      </c>
      <c r="C26" s="116" t="s">
        <v>276</v>
      </c>
      <c r="D26" s="115" t="s">
        <v>276</v>
      </c>
      <c r="E26" s="106">
        <v>0.2</v>
      </c>
      <c r="F26" s="106">
        <v>0.7</v>
      </c>
      <c r="G26" s="106">
        <v>2</v>
      </c>
      <c r="H26" s="116" t="s">
        <v>276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311</v>
      </c>
      <c r="B27" s="71" t="s">
        <v>307</v>
      </c>
      <c r="C27" s="116" t="s">
        <v>276</v>
      </c>
      <c r="D27" s="115" t="s">
        <v>276</v>
      </c>
      <c r="E27" s="106">
        <v>0.15</v>
      </c>
      <c r="F27" s="106">
        <v>0.25</v>
      </c>
      <c r="G27" s="106">
        <v>1</v>
      </c>
      <c r="H27" s="116" t="s">
        <v>276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312</v>
      </c>
      <c r="B28" s="71" t="s">
        <v>307</v>
      </c>
      <c r="C28" s="116" t="s">
        <v>276</v>
      </c>
      <c r="D28" s="115" t="s">
        <v>276</v>
      </c>
      <c r="E28" s="106">
        <v>0.15</v>
      </c>
      <c r="F28" s="106">
        <v>0.25</v>
      </c>
      <c r="G28" s="106">
        <v>1</v>
      </c>
      <c r="H28" s="116" t="s">
        <v>276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313</v>
      </c>
      <c r="B29" s="118" t="s">
        <v>307</v>
      </c>
      <c r="C29" s="31" t="s">
        <v>276</v>
      </c>
      <c r="D29" s="31" t="s">
        <v>276</v>
      </c>
      <c r="E29" s="24">
        <v>0.1</v>
      </c>
      <c r="F29" s="24">
        <v>0.2</v>
      </c>
      <c r="G29" s="24">
        <v>0</v>
      </c>
      <c r="H29" s="31" t="s">
        <v>276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314</v>
      </c>
      <c r="B30" s="70" t="s">
        <v>307</v>
      </c>
    </row>
    <row r="31" spans="1:36">
      <c r="H31" s="86"/>
      <c r="I31" s="86"/>
      <c r="AI31" s="12"/>
    </row>
    <row r="32" spans="1:36">
      <c r="A32" s="3" t="s">
        <v>315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316</v>
      </c>
      <c r="B34" s="11" t="s">
        <v>317</v>
      </c>
    </row>
    <row r="35" spans="1:36">
      <c r="A35" t="s">
        <v>318</v>
      </c>
      <c r="B35" s="72">
        <v>60</v>
      </c>
      <c r="C35" s="86"/>
    </row>
    <row r="36" spans="1:36">
      <c r="A36" t="s">
        <v>319</v>
      </c>
      <c r="B36" s="72">
        <v>2000</v>
      </c>
      <c r="C36" s="86"/>
    </row>
    <row r="37" spans="1:36">
      <c r="A37" t="s">
        <v>320</v>
      </c>
      <c r="B37" s="2">
        <v>0.4</v>
      </c>
    </row>
    <row r="39" spans="1:36">
      <c r="A39" s="3" t="s">
        <v>321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322</v>
      </c>
      <c r="C40" s="193"/>
    </row>
    <row r="41" spans="1:36">
      <c r="A41" s="5" t="s">
        <v>101</v>
      </c>
      <c r="B41" s="191" t="s">
        <v>92</v>
      </c>
      <c r="C41" s="191" t="s">
        <v>98</v>
      </c>
    </row>
    <row r="42" spans="1:36">
      <c r="A42" t="s">
        <v>117</v>
      </c>
      <c r="B42" s="72">
        <v>450</v>
      </c>
      <c r="C42" s="72">
        <v>450</v>
      </c>
    </row>
    <row r="43" spans="1:36">
      <c r="A43" t="s">
        <v>115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310</v>
      </c>
      <c r="B45" s="72">
        <v>25000</v>
      </c>
      <c r="C45" s="72">
        <v>50000</v>
      </c>
    </row>
    <row r="46" spans="1:36">
      <c r="A46" t="s">
        <v>311</v>
      </c>
      <c r="B46" s="72">
        <v>6000</v>
      </c>
      <c r="C46" s="72">
        <v>12000</v>
      </c>
    </row>
    <row r="47" spans="1:36">
      <c r="A47" t="s">
        <v>312</v>
      </c>
      <c r="B47" s="72">
        <v>4500</v>
      </c>
      <c r="C47" s="72">
        <v>12000</v>
      </c>
    </row>
    <row r="48" spans="1:36">
      <c r="A48" t="s">
        <v>313</v>
      </c>
      <c r="B48" s="72">
        <v>20000</v>
      </c>
      <c r="C48" s="72">
        <v>20000</v>
      </c>
      <c r="D48" s="72"/>
    </row>
    <row r="50" spans="1:36">
      <c r="A50" s="3" t="s">
        <v>323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283</v>
      </c>
      <c r="E52" s="12" t="s">
        <v>283</v>
      </c>
      <c r="F52" s="12" t="s">
        <v>283</v>
      </c>
      <c r="G52" s="12" t="s">
        <v>324</v>
      </c>
      <c r="H52" s="12" t="s">
        <v>325</v>
      </c>
      <c r="I52" s="12" t="s">
        <v>135</v>
      </c>
      <c r="AJ52" s="12"/>
    </row>
    <row r="53" spans="1:36" customHeight="1" ht="30">
      <c r="A53" s="11" t="s">
        <v>326</v>
      </c>
      <c r="B53" s="11" t="s">
        <v>327</v>
      </c>
      <c r="C53" s="11" t="s">
        <v>328</v>
      </c>
      <c r="D53" s="10" t="s">
        <v>243</v>
      </c>
      <c r="E53" s="10" t="s">
        <v>202</v>
      </c>
      <c r="F53" s="10" t="s">
        <v>262</v>
      </c>
      <c r="G53" s="10" t="s">
        <v>329</v>
      </c>
      <c r="H53" s="10" t="s">
        <v>330</v>
      </c>
      <c r="I53" s="10" t="s">
        <v>330</v>
      </c>
      <c r="AJ53" s="12"/>
    </row>
    <row r="54" spans="1:36">
      <c r="A54">
        <v>8</v>
      </c>
      <c r="B54" s="12" t="s">
        <v>331</v>
      </c>
      <c r="C54" s="12" t="s">
        <v>332</v>
      </c>
      <c r="D54" s="89">
        <v>465</v>
      </c>
      <c r="E54" s="89">
        <v>2</v>
      </c>
      <c r="F54" s="89">
        <v>4</v>
      </c>
      <c r="G54" s="7" t="s">
        <v>98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333</v>
      </c>
      <c r="C55" s="12" t="s">
        <v>332</v>
      </c>
      <c r="D55" s="89">
        <v>465</v>
      </c>
      <c r="E55" s="89">
        <v>2</v>
      </c>
      <c r="F55" s="89">
        <v>4</v>
      </c>
      <c r="G55" s="7" t="s">
        <v>98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334</v>
      </c>
      <c r="C56" s="116" t="s">
        <v>335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336</v>
      </c>
      <c r="C57" s="116" t="s">
        <v>332</v>
      </c>
      <c r="D57" s="189">
        <v>465</v>
      </c>
      <c r="E57" s="189">
        <v>2</v>
      </c>
      <c r="F57" s="189">
        <v>4</v>
      </c>
      <c r="G57" s="72" t="s">
        <v>98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337</v>
      </c>
      <c r="C58" s="116" t="s">
        <v>332</v>
      </c>
      <c r="D58" s="189">
        <v>465</v>
      </c>
      <c r="E58" s="189">
        <v>2</v>
      </c>
      <c r="F58" s="189">
        <v>4</v>
      </c>
      <c r="G58" s="72" t="s">
        <v>98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338</v>
      </c>
      <c r="C59" s="116" t="s">
        <v>335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339</v>
      </c>
      <c r="C60" s="116" t="s">
        <v>335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340</v>
      </c>
      <c r="C61" s="116" t="s">
        <v>335</v>
      </c>
      <c r="D61" s="189">
        <v>465</v>
      </c>
      <c r="E61" s="189">
        <v>2</v>
      </c>
      <c r="F61" s="189">
        <v>4</v>
      </c>
      <c r="G61" s="72" t="s">
        <v>98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341</v>
      </c>
      <c r="C62" s="116" t="s">
        <v>335</v>
      </c>
      <c r="D62" s="189">
        <v>465</v>
      </c>
      <c r="E62" s="189">
        <v>2</v>
      </c>
      <c r="F62" s="189">
        <v>4</v>
      </c>
      <c r="G62" s="72" t="s">
        <v>98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342</v>
      </c>
      <c r="C63" s="116" t="s">
        <v>335</v>
      </c>
      <c r="D63" s="189">
        <v>465</v>
      </c>
      <c r="E63" s="189">
        <v>2</v>
      </c>
      <c r="F63" s="189">
        <v>4</v>
      </c>
      <c r="G63" s="72" t="s">
        <v>98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343</v>
      </c>
      <c r="C64" s="116" t="s">
        <v>335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344</v>
      </c>
      <c r="C65" s="12" t="s">
        <v>335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345</v>
      </c>
      <c r="C66" s="12" t="s">
        <v>335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346</v>
      </c>
      <c r="C67" s="12" t="s">
        <v>335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347</v>
      </c>
      <c r="C68" s="12" t="s">
        <v>335</v>
      </c>
      <c r="D68" s="89">
        <v>930</v>
      </c>
      <c r="E68" s="89">
        <v>1</v>
      </c>
      <c r="F68" s="89">
        <v>6</v>
      </c>
      <c r="G68" s="7" t="s">
        <v>98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348</v>
      </c>
      <c r="C69" s="12" t="s">
        <v>335</v>
      </c>
      <c r="D69" s="89">
        <v>465</v>
      </c>
      <c r="E69" s="89">
        <v>2</v>
      </c>
      <c r="F69" s="89">
        <v>4</v>
      </c>
      <c r="G69" s="7" t="s">
        <v>98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349</v>
      </c>
      <c r="C70" s="12" t="s">
        <v>335</v>
      </c>
      <c r="D70" s="89">
        <v>465</v>
      </c>
      <c r="E70" s="89">
        <v>2</v>
      </c>
      <c r="F70" s="89">
        <v>4</v>
      </c>
      <c r="G70" s="7" t="s">
        <v>98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350</v>
      </c>
      <c r="C71" s="12" t="s">
        <v>332</v>
      </c>
      <c r="D71" s="89">
        <v>465</v>
      </c>
      <c r="E71" s="89">
        <v>2</v>
      </c>
      <c r="F71" s="89">
        <v>4</v>
      </c>
      <c r="G71" s="7" t="s">
        <v>98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352</v>
      </c>
      <c r="B76" s="11" t="s">
        <v>353</v>
      </c>
      <c r="C76" s="11" t="s">
        <v>180</v>
      </c>
      <c r="D76" s="11" t="s">
        <v>354</v>
      </c>
      <c r="E76" s="11" t="s">
        <v>80</v>
      </c>
      <c r="F76" s="11" t="s">
        <v>355</v>
      </c>
      <c r="G76" s="11" t="s">
        <v>356</v>
      </c>
      <c r="H76" s="11" t="s">
        <v>357</v>
      </c>
      <c r="I76" s="11" t="s">
        <v>239</v>
      </c>
      <c r="J76" s="11" t="s">
        <v>358</v>
      </c>
      <c r="K76" s="11" t="s">
        <v>192</v>
      </c>
      <c r="AJ76" s="12"/>
    </row>
    <row r="77" spans="1:36">
      <c r="A77" t="s">
        <v>98</v>
      </c>
      <c r="B77" s="176">
        <v>0</v>
      </c>
      <c r="C77" s="12" t="s">
        <v>359</v>
      </c>
      <c r="E77" s="12" t="s">
        <v>92</v>
      </c>
      <c r="F77" s="12" t="s">
        <v>92</v>
      </c>
      <c r="G77" s="12" t="s">
        <v>116</v>
      </c>
      <c r="H77" s="12" t="s">
        <v>325</v>
      </c>
      <c r="I77" s="12" t="s">
        <v>360</v>
      </c>
      <c r="J77" s="136" t="s">
        <v>361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362</v>
      </c>
      <c r="D78" s="133"/>
      <c r="E78" s="12" t="s">
        <v>91</v>
      </c>
      <c r="F78" s="12" t="s">
        <v>99</v>
      </c>
      <c r="G78" s="12" t="s">
        <v>363</v>
      </c>
      <c r="H78" s="12" t="s">
        <v>135</v>
      </c>
      <c r="I78" s="12" t="s">
        <v>364</v>
      </c>
      <c r="J78" s="70" t="s">
        <v>365</v>
      </c>
      <c r="K78" s="12" t="s">
        <v>92</v>
      </c>
      <c r="AJ78" s="12"/>
    </row>
    <row r="79" spans="1:36">
      <c r="B79" s="176">
        <v>10</v>
      </c>
      <c r="C79" s="12" t="s">
        <v>366</v>
      </c>
      <c r="D79" s="12">
        <v>1</v>
      </c>
      <c r="E79" s="12" t="s">
        <v>367</v>
      </c>
      <c r="F79" s="12" t="s">
        <v>368</v>
      </c>
      <c r="G79" s="12" t="s">
        <v>114</v>
      </c>
      <c r="I79" s="12" t="s">
        <v>180</v>
      </c>
      <c r="J79" s="70" t="s">
        <v>369</v>
      </c>
      <c r="K79" s="12" t="s">
        <v>92</v>
      </c>
      <c r="AJ79" s="12"/>
    </row>
    <row r="80" spans="1:36">
      <c r="B80" s="176">
        <v>20</v>
      </c>
      <c r="C80" s="12" t="s">
        <v>370</v>
      </c>
      <c r="D80" s="12">
        <f>D79+1</f>
        <v>2</v>
      </c>
      <c r="E80" s="12" t="s">
        <v>97</v>
      </c>
      <c r="F80" s="12" t="s">
        <v>371</v>
      </c>
      <c r="J80" s="70" t="s">
        <v>372</v>
      </c>
      <c r="K80" s="12" t="s">
        <v>98</v>
      </c>
      <c r="AJ80" s="12"/>
    </row>
    <row r="81" spans="1:36">
      <c r="B81" s="176">
        <v>30</v>
      </c>
      <c r="C81" s="12" t="s">
        <v>373</v>
      </c>
      <c r="D81" s="12">
        <f>D80+1</f>
        <v>3</v>
      </c>
      <c r="J81" s="70" t="s">
        <v>90</v>
      </c>
      <c r="K81" s="12" t="s">
        <v>98</v>
      </c>
    </row>
    <row r="82" spans="1:36">
      <c r="B82" s="176">
        <v>40</v>
      </c>
      <c r="C82" s="12" t="s">
        <v>374</v>
      </c>
      <c r="D82" s="12">
        <f>D81+1</f>
        <v>4</v>
      </c>
      <c r="J82" s="70"/>
    </row>
    <row r="83" spans="1:36">
      <c r="B83" s="176">
        <v>50</v>
      </c>
      <c r="C83" s="12" t="s">
        <v>375</v>
      </c>
      <c r="D83" s="12">
        <f>D82+1</f>
        <v>5</v>
      </c>
    </row>
    <row r="84" spans="1:36">
      <c r="B84" s="176">
        <v>60</v>
      </c>
      <c r="C84" s="12" t="s">
        <v>376</v>
      </c>
      <c r="D84" s="12">
        <f>D83+1</f>
        <v>6</v>
      </c>
    </row>
    <row r="85" spans="1:36">
      <c r="B85" s="176">
        <v>70</v>
      </c>
      <c r="C85" s="12" t="s">
        <v>168</v>
      </c>
      <c r="D85" s="12">
        <f>D84+1</f>
        <v>7</v>
      </c>
    </row>
    <row r="86" spans="1:36">
      <c r="B86" s="176">
        <v>80</v>
      </c>
      <c r="C86" s="12" t="s">
        <v>167</v>
      </c>
      <c r="D86" s="12">
        <f>D85+1</f>
        <v>8</v>
      </c>
    </row>
    <row r="87" spans="1:36">
      <c r="B87" s="176">
        <v>89.99999999999999</v>
      </c>
      <c r="C87" s="12" t="s">
        <v>166</v>
      </c>
      <c r="D87" s="12">
        <f>D86+1</f>
        <v>9</v>
      </c>
    </row>
    <row r="88" spans="1:36">
      <c r="B88" s="176">
        <v>99.99999999999999</v>
      </c>
      <c r="C88" s="12" t="s">
        <v>165</v>
      </c>
      <c r="D88" s="12">
        <f>D87+1</f>
        <v>10</v>
      </c>
    </row>
    <row r="89" spans="1:36">
      <c r="C89" s="12" t="s">
        <v>164</v>
      </c>
      <c r="D89" s="12">
        <f>D88+1</f>
        <v>11</v>
      </c>
    </row>
    <row r="90" spans="1:36">
      <c r="C90" s="12" t="s">
        <v>163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