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<sst xmlns="http://schemas.openxmlformats.org/spreadsheetml/2006/main" uniqueCount="367">
  <si>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</si>
  <si>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</si>
  <si>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</si>
  <si>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</si>
  <si>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</si>
  <si>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</si>
  <si>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</si>
  <si>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</si>
  <si>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</si>
  <si>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</si>
  <si>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</si>
  <si>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</si>
  <si>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</si>
  <si>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</si>
  <si>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</si>
  <si>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</si>
  <si>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</si>
  <si>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</si>
  <si>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</si>
  <si>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</si>
  <si>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</si>
  <si>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</si>
  <si>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</si>
  <si>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</si>
  <si>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</si>
  <si>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</si>
  <si>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</si>
  <si>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</si>
  <si>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</si>
  <si>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</si>
  <si>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</si>
  <si>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</si>
  <si>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</si>
  <si>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</si>
  <si>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</si>
  <si>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</si>
  <si>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</si>
  <si>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</si>
  <si>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</si>
  <si>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</si>
  <si>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</si>
  <si>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</si>
  <si>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</si>
  <si>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</si>
  <si>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</si>
  <si>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</si>
  <si>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</si>
  <si>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</si>
  <si>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</si>
  <si>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</si>
  <si>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</si>
  <si>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</si>
  <si>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</si>
  <si>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</si>
  <si>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</si>
  <si>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</si>
  <si>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</si>
  <si>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</si>
  <si>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</si>
  <si>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</si>
  <si>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</si>
  <si>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</si>
  <si>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</si>
  <si>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</si>
  <si>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</si>
  <si>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</si>
  <si>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</si>
  <si>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</si>
  <si>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</si>
  <si>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</si>
  <si>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</si>
  <si>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</si>
  <si>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</si>
  <si>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</si>
  <si>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</si>
  <si>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</si>
  <si>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</si>
  <si>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</si>
  <si>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</si>
  <si>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</si>
  <si>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</si>
  <si>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</si>
  <si>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</si>
  <si>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</si>
  <si>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</si>
  <si>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</si>
  <si>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</si>
  <si>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</si>
  <si>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</si>
  <si>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</si>
  <si>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</si>
  <si>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</si>
  <si>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</si>
  <si>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</si>
  <si>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January</t>
  </si>
  <si>
    <t>Beans</t>
  </si>
  <si>
    <t>NGO</t>
  </si>
  <si>
    <t>Other crops</t>
  </si>
  <si>
    <t>Watermelon</t>
  </si>
  <si>
    <t>every month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</si>
  <si>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</si>
  <si>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</si>
  <si>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</si>
  <si>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</si>
  <si>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</si>
  <si>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</si>
  <si>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</si>
  <si>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</si>
  <si>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</si>
  <si>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</si>
  <si>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</si>
  <si>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</si>
  <si>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</si>
  <si>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</si>
  <si>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</si>
  <si>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</si>
  <si>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</si>
  <si>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</si>
  <si>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</si>
  <si>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</si>
  <si>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</si>
  <si>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</si>
  <si>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</si>
  <si>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</si>
  <si>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</si>
  <si>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</si>
  <si>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</si>
  <si>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</si>
  <si>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</si>
  <si>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</si>
  <si>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</si>
  <si>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</si>
  <si>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</si>
  <si>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</si>
  <si>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</si>
  <si>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</si>
  <si>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</si>
  <si>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</si>
  <si>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</si>
  <si>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</si>
  <si>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</si>
  <si>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</si>
  <si>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</si>
  <si>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</si>
  <si>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</si>
  <si>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</si>
  <si>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</si>
  <si>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</si>
  <si>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</si>
  <si>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</si>
  <si>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</si>
  <si>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</si>
  <si>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</si>
  <si>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</si>
  <si>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</si>
  <si>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</si>
  <si>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</si>
  <si>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</si>
  <si>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</si>
  <si>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</si>
  <si>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2018/1/5</t>
  </si>
  <si>
    <t>Loan terms</t>
  </si>
  <si>
    <t>Expected disbursement date</t>
  </si>
  <si>
    <t>Expected first repayment date</t>
  </si>
  <si>
    <t>2018/2/5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</si>
  <si>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</si>
  <si>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</si>
  <si>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</si>
  <si>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</si>
  <si>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</si>
  <si>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</si>
  <si>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</si>
  <si>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</si>
  <si>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</si>
  <si>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</si>
  <si>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</si>
  <si>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</si>
  <si>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</si>
  <si>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</si>
  <si>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</si>
  <si>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</si>
  <si>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</si>
  <si>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</si>
  <si>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</si>
  <si>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</si>
  <si>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</si>
  <si>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</si>
  <si>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</si>
  <si>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</si>
  <si>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</si>
  <si>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</si>
  <si>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</si>
  <si>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</si>
  <si>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</si>
  <si>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</si>
  <si>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</si>
  <si>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</si>
  <si>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</si>
  <si>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</si>
  <si>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</si>
  <si>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</si>
  <si>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</si>
  <si>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</si>
  <si>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</si>
  <si>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</si>
  <si>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</si>
  <si>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</si>
  <si>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</si>
  <si>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</si>
  <si>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</si>
  <si>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</si>
  <si>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</si>
  <si>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</si>
  <si>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</si>
  <si>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</si>
  <si>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</si>
  <si>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</si>
  <si>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</si>
  <si>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</si>
  <si>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</si>
  <si>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</si>
  <si>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</si>
  <si>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</si>
  <si>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</si>
  <si>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</si>
  <si>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</si>
  <si>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</si>
  <si>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</si>
  <si>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</si>
  <si>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</si>
  <si>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</si>
  <si>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</si>
  <si>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</si>
  <si>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</si>
  <si>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</si>
  <si>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</si>
  <si>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</si>
  <si>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</si>
  <si>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</si>
  <si>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</si>
  <si>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</si>
  <si>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</si>
  <si>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</si>
  <si>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</si>
  <si>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</si>
  <si>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</si>
  <si>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</si>
  <si>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</si>
  <si>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</si>
  <si>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</si>
  <si>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</si>
  <si>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</si>
  <si>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</si>
  <si>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</si>
  <si>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</si>
  <si>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</si>
  <si>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</si>
  <si>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</si>
  <si>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</si>
  <si>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</si>
  <si>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</si>
  <si>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</si>
  <si>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</si>
  <si>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</si>
  <si>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</si>
  <si>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</si>
  <si>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</si>
  <si>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</si>
  <si>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</si>
  <si>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</si>
  <si>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</si>
  <si>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</si>
  <si>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</si>
  <si>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</si>
  <si>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</si>
  <si>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</si>
  <si>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</si>
  <si>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</si>
  <si>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</si>
  <si>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</si>
  <si>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</si>
  <si>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</si>
  <si>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</si>
  <si>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</si>
  <si>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</si>
  <si>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</si>
  <si>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</si>
  <si>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</si>
  <si>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</si>
  <si>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</si>
  <si>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</si>
  <si>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</si>
  <si>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</si>
  <si>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</si>
  <si>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</si>
  <si>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</si>
  <si>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</si>
  <si>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</si>
  <si>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</si>
  <si>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</si>
  <si>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</si>
  <si>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</si>
  <si>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</si>
  <si>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</si>
  <si>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</si>
  <si>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</si>
  <si>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</si>
  <si>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</si>
  <si>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</si>
  <si>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</si>
  <si>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</si>
  <si>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</si>
  <si>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</si>
  <si>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</si>
  <si>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</si>
  <si>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</si>
  <si>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</si>
  <si>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</si>
  <si>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</si>
  <si>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</si>
  <si>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</si>
  <si>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</si>
  <si>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</si>
  <si>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</si>
  <si>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</si>
  <si>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</si>
  <si>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</si>
  <si>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</si>
  <si>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</si>
  <si>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</si>
  <si>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</si>
  <si>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</si>
  <si>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</si>
  <si>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</si>
  <si>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</si>
  <si>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</si>
  <si>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</si>
  <si>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</si>
  <si>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</si>
  <si>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</si>
  <si>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</si>
  <si>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</si>
  <si>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</si>
  <si>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</si>
  <si>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</si>
  <si>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</si>
  <si>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</si>
  <si>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</si>
  <si>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</si>
  <si>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</si>
  <si>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</si>
  <si>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</si>
  <si>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</si>
  <si>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</si>
  <si>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</si>
  <si>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</si>
  <si>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</si>
  <si>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</si>
  <si>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</si>
  <si>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</si>
  <si>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</si>
  <si>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</si>
  <si>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</si>
  <si>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</si>
  <si>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March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</si>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</sst>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Watermelon,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0.4255264279984259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0.03603538674978829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187395.3717789988</v>
      </c>
    </row>
    <row r="18" spans="1:7">
      <c r="B18" s="1" t="s">
        <v>12</v>
      </c>
      <c r="C18" s="36">
        <f>MIN(Output!B6:M6)</f>
        <v>-5391.735566669522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66193.04580613736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-5391.735566669522</v>
      </c>
      <c r="C6" s="51">
        <f>C30-C88</f>
        <v>6017.264433330478</v>
      </c>
      <c r="D6" s="51">
        <f>D30-D88</f>
        <v>2117.264433330478</v>
      </c>
      <c r="E6" s="51">
        <f>E30-E88</f>
        <v>6017.264433330478</v>
      </c>
      <c r="F6" s="51">
        <f>F30-F88</f>
        <v>66193.04580613736</v>
      </c>
      <c r="G6" s="51">
        <f>G30-G88</f>
        <v>18744.58235004013</v>
      </c>
      <c r="H6" s="51">
        <f>H30-H88</f>
        <v>-5391.735566669522</v>
      </c>
      <c r="I6" s="51">
        <f>I30-I88</f>
        <v>6017.264433330478</v>
      </c>
      <c r="J6" s="51">
        <f>J30-J88</f>
        <v>2117.264433330478</v>
      </c>
      <c r="K6" s="51">
        <f>K30-K88</f>
        <v>6017.264433330478</v>
      </c>
      <c r="L6" s="51">
        <f>L30-L88</f>
        <v>66193.04580613736</v>
      </c>
      <c r="M6" s="51">
        <f>M30-M88</f>
        <v>18744.58235004013</v>
      </c>
      <c r="N6" s="51">
        <f>N30-N88</f>
        <v>-5391.735566669522</v>
      </c>
      <c r="O6" s="51">
        <f>O30-O88</f>
        <v>6017.264433330478</v>
      </c>
      <c r="P6" s="51">
        <f>P30-P88</f>
        <v>2117.264433330478</v>
      </c>
      <c r="Q6" s="51">
        <f>Q30-Q88</f>
        <v>6017.264433330478</v>
      </c>
      <c r="R6" s="51">
        <f>R30-R88</f>
        <v>66193.04580613736</v>
      </c>
      <c r="S6" s="51">
        <f>S30-S88</f>
        <v>18744.58235004013</v>
      </c>
      <c r="T6" s="51">
        <f>T30-T88</f>
        <v>-5391.735566669522</v>
      </c>
      <c r="U6" s="51">
        <f>U30-U88</f>
        <v>6017.264433330478</v>
      </c>
      <c r="V6" s="51">
        <f>V30-V88</f>
        <v>2117.264433330478</v>
      </c>
      <c r="W6" s="51">
        <f>W30-W88</f>
        <v>6017.264433330478</v>
      </c>
      <c r="X6" s="51">
        <f>X30-X88</f>
        <v>66193.04580613736</v>
      </c>
      <c r="Y6" s="51">
        <f>Y30-Y88</f>
        <v>18744.58235004013</v>
      </c>
      <c r="Z6" s="51">
        <f>SUMIF($B$13:$Y$13,"Yes",B6:Y6)</f>
        <v>182003.6362123293</v>
      </c>
      <c r="AA6" s="51">
        <f>AA30-AA88</f>
        <v>187395.3717789988</v>
      </c>
      <c r="AB6" s="51">
        <f>AB30-AB88</f>
        <v>374790.7435579974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21</v>
      </c>
      <c r="H7" s="80">
        <f>IF(ISERROR(VLOOKUP(MONTH(H5),Inputs!$D$66:$D$71,1,0)),"",INDEX(Inputs!$B$66:$B$71,MATCH(MONTH(Output!H5),Inputs!$D$66:$D$71,0))-INDEX(Inputs!$C$66:$C$71,MATCH(MONTH(Output!H5),Inputs!$D$66:$D$71,0)))</f>
        <v>-35</v>
      </c>
      <c r="I7" s="80">
        <f>IF(ISERROR(VLOOKUP(MONTH(I5),Inputs!$D$66:$D$71,1,0)),"",INDEX(Inputs!$B$66:$B$71,MATCH(MONTH(Output!I5),Inputs!$D$66:$D$71,0))-INDEX(Inputs!$C$66:$C$71,MATCH(MONTH(Output!I5),Inputs!$D$66:$D$71,0)))</f>
        <v>6</v>
      </c>
      <c r="J7" s="80">
        <f>IF(ISERROR(VLOOKUP(MONTH(J5),Inputs!$D$66:$D$71,1,0)),"",INDEX(Inputs!$B$66:$B$71,MATCH(MONTH(Output!J5),Inputs!$D$66:$D$71,0))-INDEX(Inputs!$C$66:$C$71,MATCH(MONTH(Output!J5),Inputs!$D$66:$D$71,0)))</f>
        <v>1526</v>
      </c>
      <c r="K7" s="80">
        <f>IF(ISERROR(VLOOKUP(MONTH(K5),Inputs!$D$66:$D$71,1,0)),"",INDEX(Inputs!$B$66:$B$71,MATCH(MONTH(Output!K5),Inputs!$D$66:$D$71,0))-INDEX(Inputs!$C$66:$C$71,MATCH(MONTH(Output!K5),Inputs!$D$66:$D$71,0)))</f>
        <v>-1433</v>
      </c>
      <c r="L7" s="80">
        <f>IF(ISERROR(VLOOKUP(MONTH(L5),Inputs!$D$66:$D$71,1,0)),"",INDEX(Inputs!$B$66:$B$71,MATCH(MONTH(Output!L5),Inputs!$D$66:$D$71,0))-INDEX(Inputs!$C$66:$C$71,MATCH(MONTH(Output!L5),Inputs!$D$66:$D$71,0)))</f>
        <v>167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21</v>
      </c>
      <c r="T7" s="80">
        <f>IF(ISERROR(VLOOKUP(MONTH(T5),Inputs!$D$66:$D$71,1,0)),"",INDEX(Inputs!$B$66:$B$71,MATCH(MONTH(Output!T5),Inputs!$D$66:$D$71,0))-INDEX(Inputs!$C$66:$C$71,MATCH(MONTH(Output!T5),Inputs!$D$66:$D$71,0)))</f>
        <v>-35</v>
      </c>
      <c r="U7" s="80">
        <f>IF(ISERROR(VLOOKUP(MONTH(U5),Inputs!$D$66:$D$71,1,0)),"",INDEX(Inputs!$B$66:$B$71,MATCH(MONTH(Output!U5),Inputs!$D$66:$D$71,0))-INDEX(Inputs!$C$66:$C$71,MATCH(MONTH(Output!U5),Inputs!$D$66:$D$71,0)))</f>
        <v>6</v>
      </c>
      <c r="V7" s="80">
        <f>IF(ISERROR(VLOOKUP(MONTH(V5),Inputs!$D$66:$D$71,1,0)),"",INDEX(Inputs!$B$66:$B$71,MATCH(MONTH(Output!V5),Inputs!$D$66:$D$71,0))-INDEX(Inputs!$C$66:$C$71,MATCH(MONTH(Output!V5),Inputs!$D$66:$D$71,0)))</f>
        <v>1526</v>
      </c>
      <c r="W7" s="80">
        <f>IF(ISERROR(VLOOKUP(MONTH(W5),Inputs!$D$66:$D$71,1,0)),"",INDEX(Inputs!$B$66:$B$71,MATCH(MONTH(Output!W5),Inputs!$D$66:$D$71,0))-INDEX(Inputs!$C$66:$C$71,MATCH(MONTH(Output!W5),Inputs!$D$66:$D$71,0)))</f>
        <v>-1433</v>
      </c>
      <c r="X7" s="80">
        <f>IF(ISERROR(VLOOKUP(MONTH(X5),Inputs!$D$66:$D$71,1,0)),"",INDEX(Inputs!$B$66:$B$71,MATCH(MONTH(Output!X5),Inputs!$D$66:$D$71,0))-INDEX(Inputs!$C$66:$C$71,MATCH(MONTH(Output!X5),Inputs!$D$66:$D$71,0)))</f>
        <v>167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108333.3333333333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94608.26443333048</v>
      </c>
      <c r="C11" s="80">
        <f>C6+C9-C10</f>
        <v>4350.597766663811</v>
      </c>
      <c r="D11" s="80">
        <f>D6+D9-D10</f>
        <v>450.5977666638112</v>
      </c>
      <c r="E11" s="80">
        <f>E6+E9-E10</f>
        <v>-5649.402233336188</v>
      </c>
      <c r="F11" s="80">
        <f>F6+F9-F10</f>
        <v>54526.3791394707</v>
      </c>
      <c r="G11" s="80">
        <f>G6+G9-G10</f>
        <v>7077.915683373465</v>
      </c>
      <c r="H11" s="80">
        <f>H6+H9-H10</f>
        <v>-17058.40223333619</v>
      </c>
      <c r="I11" s="80">
        <f>I6+I9-I10</f>
        <v>-5649.402233336188</v>
      </c>
      <c r="J11" s="80">
        <f>J6+J9-J10</f>
        <v>-9549.402233336188</v>
      </c>
      <c r="K11" s="80">
        <f>K6+K9-K10</f>
        <v>-5649.402233336188</v>
      </c>
      <c r="L11" s="80">
        <f>L6+L9-L10</f>
        <v>54526.3791394707</v>
      </c>
      <c r="M11" s="80">
        <f>M6+M9-M10</f>
        <v>7077.915683373465</v>
      </c>
      <c r="N11" s="80">
        <f>N6+N9-N10</f>
        <v>-17058.40223333619</v>
      </c>
      <c r="O11" s="80">
        <f>O6+O9-O10</f>
        <v>6017.264433330478</v>
      </c>
      <c r="P11" s="80">
        <f>P6+P9-P10</f>
        <v>2117.264433330478</v>
      </c>
      <c r="Q11" s="80">
        <f>Q6+Q9-Q10</f>
        <v>6017.264433330478</v>
      </c>
      <c r="R11" s="80">
        <f>R6+R9-R10</f>
        <v>66193.04580613736</v>
      </c>
      <c r="S11" s="80">
        <f>S6+S9-S10</f>
        <v>18744.58235004013</v>
      </c>
      <c r="T11" s="80">
        <f>T6+T9-T10</f>
        <v>-5391.735566669522</v>
      </c>
      <c r="U11" s="80">
        <f>U6+U9-U10</f>
        <v>6017.264433330478</v>
      </c>
      <c r="V11" s="80">
        <f>V6+V9-V10</f>
        <v>2117.264433330478</v>
      </c>
      <c r="W11" s="80">
        <f>W6+W9-W10</f>
        <v>6017.264433330478</v>
      </c>
      <c r="X11" s="80">
        <f>X6+X9-X10</f>
        <v>66193.04580613736</v>
      </c>
      <c r="Y11" s="80">
        <f>Y6+Y9-Y10</f>
        <v>18744.58235004013</v>
      </c>
      <c r="Z11" s="85">
        <f>SUMIF($B$13:$Y$13,"Yes",B11:Y11)</f>
        <v>162003.6362123293</v>
      </c>
      <c r="AA11" s="80">
        <f>SUM(B11:M11)</f>
        <v>179062.0384456655</v>
      </c>
      <c r="AB11" s="46">
        <f>SUM(B11:Y11)</f>
        <v>354790.7435579977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0.01656305994550518</v>
      </c>
      <c r="D12" s="82">
        <f>IF(D13="Yes",IF(SUM($B$10:D10)/(SUM($B$6:D6)+SUM($B$9:D9))&lt;0,999.99,SUM($B$10:D10)/(SUM($B$6:D6)+SUM($B$9:D9))),"")</f>
        <v>0.03244347585139688</v>
      </c>
      <c r="E12" s="82">
        <f>IF(E13="Yes",IF(SUM($B$10:E10)/(SUM($B$6:E6)+SUM($B$9:E9))&lt;0,999.99,SUM($B$10:E10)/(SUM($B$6:E6)+SUM($B$9:E9))),"")</f>
        <v>0.1379182791239389</v>
      </c>
      <c r="F12" s="82">
        <f>IF(F13="Yes",IF(SUM($B$10:F10)/(SUM($B$6:F6)+SUM($B$9:F9))&lt;0,999.99,SUM($B$10:F10)/(SUM($B$6:F6)+SUM($B$9:F9))),"")</f>
        <v>0.1524217983401032</v>
      </c>
      <c r="G12" s="82">
        <f>IF(G13="Yes",IF(SUM($B$10:G10)/(SUM($B$6:G6)+SUM($B$9:G9))&lt;0,999.99,SUM($B$10:G10)/(SUM($B$6:G6)+SUM($B$9:G9))),"")</f>
        <v>0.1979028977930161</v>
      </c>
      <c r="H12" s="82">
        <f>IF(H13="Yes",IF(SUM($B$10:H10)/(SUM($B$6:H6)+SUM($B$9:H9))&lt;0,999.99,SUM($B$10:H10)/(SUM($B$6:H6)+SUM($B$9:H9))),"")</f>
        <v>0.2655253321219031</v>
      </c>
      <c r="I12" s="82">
        <f>IF(I13="Yes",IF(SUM($B$10:I10)/(SUM($B$6:I6)+SUM($B$9:I9))&lt;0,999.99,SUM($B$10:I10)/(SUM($B$6:I6)+SUM($B$9:I9))),"")</f>
        <v>0.3173407085923671</v>
      </c>
      <c r="J12" s="82">
        <f>IF(J13="Yes",IF(SUM($B$10:J10)/(SUM($B$6:J6)+SUM($B$9:J9))&lt;0,999.99,SUM($B$10:J10)/(SUM($B$6:J6)+SUM($B$9:J9))),"")</f>
        <v>0.3733107027426581</v>
      </c>
      <c r="K12" s="82">
        <f>IF(K13="Yes",IF(SUM($B$10:K10)/(SUM($B$6:K6)+SUM($B$9:K9))&lt;0,999.99,SUM($B$10:K10)/(SUM($B$6:K6)+SUM($B$9:K9))),"")</f>
        <v>0.4198406960336126</v>
      </c>
      <c r="L12" s="82">
        <f>IF(L13="Yes",IF(SUM($B$10:L10)/(SUM($B$6:L6)+SUM($B$9:L9))&lt;0,999.99,SUM($B$10:L10)/(SUM($B$6:L6)+SUM($B$9:L9))),"")</f>
        <v>0.3598227530696647</v>
      </c>
      <c r="M12" s="82">
        <f>IF(M13="Yes",IF(SUM($B$10:M10)/(SUM($B$6:M6)+SUM($B$9:M9))&lt;0,999.99,SUM($B$10:M10)/(SUM($B$6:M6)+SUM($B$9:M9))),"")</f>
        <v>0.3769487750019839</v>
      </c>
      <c r="N12" s="82">
        <f>IF(N13="Yes",IF(SUM($B$10:N10)/(SUM($B$6:N6)+SUM($B$9:N9))&lt;0,999.99,SUM($B$10:N10)/(SUM($B$6:N6)+SUM($B$9:N9))),"")</f>
        <v>0.4255264279984259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53843.3057952824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53843.3057952824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53843.3057952824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53843.3057952824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107686.6115905648</v>
      </c>
      <c r="AA18" s="36">
        <f>SUM(B18:M18)</f>
        <v>107686.6115905648</v>
      </c>
      <c r="AB18" s="36">
        <f>SUM(B18:Y18)</f>
        <v>215373.2231811296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6581.198106099688</v>
      </c>
      <c r="G19" s="36">
        <f>S19</f>
        <v>7239.317916709657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6581.198106099688</v>
      </c>
      <c r="M19" s="36">
        <f>Y19</f>
        <v>7239.317916709657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6581.198106099688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7239.317916709657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6581.198106099688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7239.317916709657</v>
      </c>
      <c r="Z19" s="36">
        <f>SUMIF($B$13:$Y$13,"Yes",B19:Y19)</f>
        <v>27641.03204561869</v>
      </c>
      <c r="AA19" s="36">
        <f>SUM(B19:M19)</f>
        <v>27641.03204561869</v>
      </c>
      <c r="AB19" s="36">
        <f>SUM(B19:Y19)</f>
        <v>55282.06409123738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Watermelon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13447.36842105263</v>
      </c>
      <c r="C24" s="36">
        <f>IFERROR(Calculations!$P14/12,"")</f>
        <v>13447.36842105263</v>
      </c>
      <c r="D24" s="36">
        <f>IFERROR(Calculations!$P14/12,"")</f>
        <v>13447.36842105263</v>
      </c>
      <c r="E24" s="36">
        <f>IFERROR(Calculations!$P14/12,"")</f>
        <v>13447.36842105263</v>
      </c>
      <c r="F24" s="36">
        <f>IFERROR(Calculations!$P14/12,"")</f>
        <v>13447.36842105263</v>
      </c>
      <c r="G24" s="36">
        <f>IFERROR(Calculations!$P14/12,"")</f>
        <v>13447.36842105263</v>
      </c>
      <c r="H24" s="36">
        <f>IFERROR(Calculations!$P14/12,"")</f>
        <v>13447.36842105263</v>
      </c>
      <c r="I24" s="36">
        <f>IFERROR(Calculations!$P14/12,"")</f>
        <v>13447.36842105263</v>
      </c>
      <c r="J24" s="36">
        <f>IFERROR(Calculations!$P14/12,"")</f>
        <v>13447.36842105263</v>
      </c>
      <c r="K24" s="36">
        <f>IFERROR(Calculations!$P14/12,"")</f>
        <v>13447.36842105263</v>
      </c>
      <c r="L24" s="36">
        <f>IFERROR(Calculations!$P14/12,"")</f>
        <v>13447.36842105263</v>
      </c>
      <c r="M24" s="36">
        <f>IFERROR(Calculations!$P14/12,"")</f>
        <v>13447.36842105263</v>
      </c>
      <c r="N24" s="36">
        <f>IFERROR(Calculations!$P14/12,"")</f>
        <v>13447.36842105263</v>
      </c>
      <c r="O24" s="36">
        <f>IFERROR(Calculations!$P14/12,"")</f>
        <v>13447.36842105263</v>
      </c>
      <c r="P24" s="36">
        <f>IFERROR(Calculations!$P14/12,"")</f>
        <v>13447.36842105263</v>
      </c>
      <c r="Q24" s="36">
        <f>IFERROR(Calculations!$P14/12,"")</f>
        <v>13447.36842105263</v>
      </c>
      <c r="R24" s="36">
        <f>IFERROR(Calculations!$P14/12,"")</f>
        <v>13447.36842105263</v>
      </c>
      <c r="S24" s="36">
        <f>IFERROR(Calculations!$P14/12,"")</f>
        <v>13447.36842105263</v>
      </c>
      <c r="T24" s="36">
        <f>IFERROR(Calculations!$P14/12,"")</f>
        <v>13447.36842105263</v>
      </c>
      <c r="U24" s="36">
        <f>IFERROR(Calculations!$P14/12,"")</f>
        <v>13447.36842105263</v>
      </c>
      <c r="V24" s="36">
        <f>IFERROR(Calculations!$P14/12,"")</f>
        <v>13447.36842105263</v>
      </c>
      <c r="W24" s="36">
        <f>IFERROR(Calculations!$P14/12,"")</f>
        <v>13447.36842105263</v>
      </c>
      <c r="X24" s="36">
        <f>IFERROR(Calculations!$P14/12,"")</f>
        <v>13447.36842105263</v>
      </c>
      <c r="Y24" s="36">
        <f>IFERROR(Calculations!$P14/12,"")</f>
        <v>13447.36842105263</v>
      </c>
      <c r="Z24" s="36">
        <f>SUMIF($B$13:$Y$13,"Yes",B24:Y24)</f>
        <v>174815.7894736842</v>
      </c>
      <c r="AA24" s="36">
        <f>SUM(B24:M24)</f>
        <v>161368.4210526316</v>
      </c>
      <c r="AB24" s="46">
        <f>SUM(B24:Y24)</f>
        <v>322736.8421052633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28447.36842105263</v>
      </c>
      <c r="C30" s="19">
        <f>SUM(C18:C29)</f>
        <v>28447.36842105263</v>
      </c>
      <c r="D30" s="19">
        <f>SUM(D18:D29)</f>
        <v>28447.36842105263</v>
      </c>
      <c r="E30" s="19">
        <f>SUM(E18:E29)</f>
        <v>28447.36842105263</v>
      </c>
      <c r="F30" s="19">
        <f>SUM(F18:F29)</f>
        <v>88871.87232243472</v>
      </c>
      <c r="G30" s="19">
        <f>SUM(G18:G29)</f>
        <v>35686.68633776229</v>
      </c>
      <c r="H30" s="19">
        <f>SUM(H18:H29)</f>
        <v>28447.36842105263</v>
      </c>
      <c r="I30" s="19">
        <f>SUM(I18:I29)</f>
        <v>28447.36842105263</v>
      </c>
      <c r="J30" s="19">
        <f>SUM(J18:J29)</f>
        <v>28447.36842105263</v>
      </c>
      <c r="K30" s="19">
        <f>SUM(K18:K29)</f>
        <v>28447.36842105263</v>
      </c>
      <c r="L30" s="19">
        <f>SUM(L18:L29)</f>
        <v>88871.87232243472</v>
      </c>
      <c r="M30" s="19">
        <f>SUM(M18:M29)</f>
        <v>35686.68633776229</v>
      </c>
      <c r="N30" s="19">
        <f>SUM(N18:N29)</f>
        <v>28447.36842105263</v>
      </c>
      <c r="O30" s="19">
        <f>SUM(O18:O29)</f>
        <v>28447.36842105263</v>
      </c>
      <c r="P30" s="19">
        <f>SUM(P18:P29)</f>
        <v>28447.36842105263</v>
      </c>
      <c r="Q30" s="19">
        <f>SUM(Q18:Q29)</f>
        <v>28447.36842105263</v>
      </c>
      <c r="R30" s="19">
        <f>SUM(R18:R29)</f>
        <v>88871.87232243472</v>
      </c>
      <c r="S30" s="19">
        <f>SUM(S18:S29)</f>
        <v>35686.68633776229</v>
      </c>
      <c r="T30" s="19">
        <f>SUM(T18:T29)</f>
        <v>28447.36842105263</v>
      </c>
      <c r="U30" s="19">
        <f>SUM(U18:U29)</f>
        <v>28447.36842105263</v>
      </c>
      <c r="V30" s="19">
        <f>SUM(V18:V29)</f>
        <v>28447.36842105263</v>
      </c>
      <c r="W30" s="19">
        <f>SUM(W18:W29)</f>
        <v>28447.36842105263</v>
      </c>
      <c r="X30" s="19">
        <f>SUM(X18:X29)</f>
        <v>88871.87232243472</v>
      </c>
      <c r="Y30" s="19">
        <f>SUM(Y18:Y29)</f>
        <v>35686.68633776229</v>
      </c>
      <c r="Z30" s="19">
        <f>SUMIF($B$13:$Y$13,"Yes",B30:Y30)</f>
        <v>505143.4331098677</v>
      </c>
      <c r="AA30" s="19">
        <f>SUM(B30:M30)</f>
        <v>476696.0646888151</v>
      </c>
      <c r="AB30" s="19">
        <f>SUM(B30:Y30)</f>
        <v>953392.1293776297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8000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8000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8000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6000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6000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6000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6000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18000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Beans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3409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3409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3409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3409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10227</v>
      </c>
      <c r="AA42" s="36">
        <f>SUM(B42:M42)</f>
        <v>6818</v>
      </c>
      <c r="AB42" s="36">
        <f>SUM(B42:Y42)</f>
        <v>13636</v>
      </c>
    </row>
    <row r="43" spans="1:30" hidden="true" outlineLevel="1">
      <c r="A43" s="181" t="str">
        <f>Calculations!$A$4</f>
        <v>Maize</v>
      </c>
      <c r="B43" s="36">
        <f>N43</f>
        <v>909.0000000000002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909.0000000000002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909.0000000000002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909.0000000000002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2727.000000000001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Beans</v>
      </c>
      <c r="B44" s="36">
        <f>N44</f>
        <v>2500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2500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2500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2500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7500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3900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3900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3900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3900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7800</v>
      </c>
      <c r="AA48" s="46">
        <f>SUM(B48:M48)</f>
        <v>7800</v>
      </c>
      <c r="AB48" s="46">
        <f>SUM(B48:Y48)</f>
        <v>15600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900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900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900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900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</v>
      </c>
      <c r="AA49" s="46">
        <f>SUM(B49:M49)</f>
        <v>1800</v>
      </c>
      <c r="AB49" s="46">
        <f>SUM(B49:Y49)</f>
        <v>3600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3000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3000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248.7225285751961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248.7225285751961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248.7225285751961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248.7225285751961</v>
      </c>
      <c r="Y54" s="46">
        <f>SUM(Y55:Y59)</f>
        <v>0</v>
      </c>
      <c r="Z54" s="46">
        <f>SUMIF($B$13:$Y$13,"Yes",B54:Y54)</f>
        <v>497.4450571503922</v>
      </c>
      <c r="AA54" s="46">
        <f>SUM(B54:M54)</f>
        <v>497.4450571503922</v>
      </c>
      <c r="AB54" s="46">
        <f>SUM(B54:Y54)</f>
        <v>994.8901143007844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248.7225285751961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248.7225285751961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248.7225285751961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248.7225285751961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497.4450571503922</v>
      </c>
      <c r="AA56" s="46">
        <f>SUM(B56:M56)</f>
        <v>497.4450571503922</v>
      </c>
      <c r="AB56" s="46">
        <f>SUM(B56:Y56)</f>
        <v>994.8901143007844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5488</v>
      </c>
      <c r="C66" s="36">
        <f>O66</f>
        <v>5488</v>
      </c>
      <c r="D66" s="36">
        <f>P66</f>
        <v>5488</v>
      </c>
      <c r="E66" s="36">
        <f>Q66</f>
        <v>5488</v>
      </c>
      <c r="F66" s="36">
        <f>R66</f>
        <v>5488</v>
      </c>
      <c r="G66" s="36">
        <f>S66</f>
        <v>0</v>
      </c>
      <c r="H66" s="36">
        <f>T66</f>
        <v>5488</v>
      </c>
      <c r="I66" s="36">
        <f>U66</f>
        <v>5488</v>
      </c>
      <c r="J66" s="36">
        <f>V66</f>
        <v>5488</v>
      </c>
      <c r="K66" s="36">
        <f>W66</f>
        <v>5488</v>
      </c>
      <c r="L66" s="36">
        <f>X66</f>
        <v>5488</v>
      </c>
      <c r="M66" s="36">
        <f>Y66</f>
        <v>0</v>
      </c>
      <c r="N66" s="46">
        <f>SUM(N67:N71)</f>
        <v>5488</v>
      </c>
      <c r="O66" s="46">
        <f>SUM(O67:O71)</f>
        <v>5488</v>
      </c>
      <c r="P66" s="46">
        <f>SUM(P67:P71)</f>
        <v>5488</v>
      </c>
      <c r="Q66" s="46">
        <f>SUM(Q67:Q71)</f>
        <v>5488</v>
      </c>
      <c r="R66" s="46">
        <f>SUM(R67:R71)</f>
        <v>5488</v>
      </c>
      <c r="S66" s="46">
        <f>SUM(S67:S71)</f>
        <v>0</v>
      </c>
      <c r="T66" s="46">
        <f>SUM(T67:T71)</f>
        <v>5488</v>
      </c>
      <c r="U66" s="46">
        <f>SUM(U67:U71)</f>
        <v>5488</v>
      </c>
      <c r="V66" s="46">
        <f>SUM(V67:V71)</f>
        <v>5488</v>
      </c>
      <c r="W66" s="46">
        <f>SUM(W67:W71)</f>
        <v>5488</v>
      </c>
      <c r="X66" s="46">
        <f>SUM(X67:X71)</f>
        <v>5488</v>
      </c>
      <c r="Y66" s="46">
        <f>SUM(Y67:Y71)</f>
        <v>0</v>
      </c>
      <c r="Z66" s="46">
        <f>SUMIF($B$13:$Y$13,"Yes",B66:Y66)</f>
        <v>60368</v>
      </c>
      <c r="AA66" s="46">
        <f>SUM(B66:M66)</f>
        <v>54880</v>
      </c>
      <c r="AB66" s="46">
        <f>SUM(B66:Y66)</f>
        <v>109760</v>
      </c>
    </row>
    <row r="67" spans="1:30" hidden="true" outlineLevel="1">
      <c r="A67" s="181" t="str">
        <f>Calculations!$A$4</f>
        <v>Maize</v>
      </c>
      <c r="B67" s="36">
        <f>N67</f>
        <v>3528</v>
      </c>
      <c r="C67" s="36">
        <f>O67</f>
        <v>3528</v>
      </c>
      <c r="D67" s="36">
        <f>P67</f>
        <v>3528</v>
      </c>
      <c r="E67" s="36">
        <f>Q67</f>
        <v>3528</v>
      </c>
      <c r="F67" s="36">
        <f>R67</f>
        <v>3528</v>
      </c>
      <c r="G67" s="36">
        <f>S67</f>
        <v>0</v>
      </c>
      <c r="H67" s="36">
        <f>T67</f>
        <v>3528</v>
      </c>
      <c r="I67" s="36">
        <f>U67</f>
        <v>3528</v>
      </c>
      <c r="J67" s="36">
        <f>V67</f>
        <v>3528</v>
      </c>
      <c r="K67" s="36">
        <f>W67</f>
        <v>3528</v>
      </c>
      <c r="L67" s="36">
        <f>X67</f>
        <v>3528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3528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3528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3528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3528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3528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3528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3528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3528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3528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3528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38808</v>
      </c>
      <c r="AA67" s="46">
        <f>SUM(B67:M67)</f>
        <v>35280</v>
      </c>
      <c r="AB67" s="46">
        <f>SUM(B67:Y67)</f>
        <v>70560</v>
      </c>
    </row>
    <row r="68" spans="1:30" hidden="true" outlineLevel="1">
      <c r="A68" s="181" t="str">
        <f>Calculations!$A$5</f>
        <v>Beans</v>
      </c>
      <c r="B68" s="36">
        <f>N68</f>
        <v>1960</v>
      </c>
      <c r="C68" s="36">
        <f>O68</f>
        <v>1960</v>
      </c>
      <c r="D68" s="36">
        <f>P68</f>
        <v>1960</v>
      </c>
      <c r="E68" s="36">
        <f>Q68</f>
        <v>1960</v>
      </c>
      <c r="F68" s="36">
        <f>R68</f>
        <v>1960</v>
      </c>
      <c r="G68" s="36">
        <f>S68</f>
        <v>0</v>
      </c>
      <c r="H68" s="36">
        <f>T68</f>
        <v>1960</v>
      </c>
      <c r="I68" s="36">
        <f>U68</f>
        <v>1960</v>
      </c>
      <c r="J68" s="36">
        <f>V68</f>
        <v>1960</v>
      </c>
      <c r="K68" s="36">
        <f>W68</f>
        <v>1960</v>
      </c>
      <c r="L68" s="36">
        <f>X68</f>
        <v>1960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1960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1960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1960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1960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1960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1960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1960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1960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1960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1960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21560</v>
      </c>
      <c r="AA68" s="46">
        <f>SUM(B68:M68)</f>
        <v>19600</v>
      </c>
      <c r="AB68" s="46">
        <f>SUM(B68:Y68)</f>
        <v>39199.99999999999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</v>
      </c>
      <c r="C79" s="46">
        <f>Inputs!$B$31</f>
        <v>2500</v>
      </c>
      <c r="D79" s="46">
        <f>Inputs!$B$31</f>
        <v>2500</v>
      </c>
      <c r="E79" s="46">
        <f>Inputs!$B$31</f>
        <v>2500</v>
      </c>
      <c r="F79" s="46">
        <f>Inputs!$B$31</f>
        <v>2500</v>
      </c>
      <c r="G79" s="46">
        <f>Inputs!$B$31</f>
        <v>2500</v>
      </c>
      <c r="H79" s="46">
        <f>Inputs!$B$31</f>
        <v>2500</v>
      </c>
      <c r="I79" s="46">
        <f>Inputs!$B$31</f>
        <v>2500</v>
      </c>
      <c r="J79" s="46">
        <f>Inputs!$B$31</f>
        <v>2500</v>
      </c>
      <c r="K79" s="46">
        <f>Inputs!$B$31</f>
        <v>2500</v>
      </c>
      <c r="L79" s="46">
        <f>Inputs!$B$31</f>
        <v>2500</v>
      </c>
      <c r="M79" s="46">
        <f>Inputs!$B$31</f>
        <v>2500</v>
      </c>
      <c r="N79" s="46">
        <f>Inputs!$B$31</f>
        <v>2500</v>
      </c>
      <c r="O79" s="46">
        <f>Inputs!$B$31</f>
        <v>2500</v>
      </c>
      <c r="P79" s="46">
        <f>Inputs!$B$31</f>
        <v>2500</v>
      </c>
      <c r="Q79" s="46">
        <f>Inputs!$B$31</f>
        <v>2500</v>
      </c>
      <c r="R79" s="46">
        <f>Inputs!$B$31</f>
        <v>2500</v>
      </c>
      <c r="S79" s="46">
        <f>Inputs!$B$31</f>
        <v>2500</v>
      </c>
      <c r="T79" s="46">
        <f>Inputs!$B$31</f>
        <v>2500</v>
      </c>
      <c r="U79" s="46">
        <f>Inputs!$B$31</f>
        <v>2500</v>
      </c>
      <c r="V79" s="46">
        <f>Inputs!$B$31</f>
        <v>2500</v>
      </c>
      <c r="W79" s="46">
        <f>Inputs!$B$31</f>
        <v>2500</v>
      </c>
      <c r="X79" s="46">
        <f>Inputs!$B$31</f>
        <v>2500</v>
      </c>
      <c r="Y79" s="46">
        <f>Inputs!$B$31</f>
        <v>2500</v>
      </c>
      <c r="Z79" s="46">
        <f>SUMIF($B$13:$Y$13,"Yes",B79:Y79)</f>
        <v>32500</v>
      </c>
      <c r="AA79" s="46">
        <f>SUM(B79:M79)</f>
        <v>30000</v>
      </c>
      <c r="AB79" s="46">
        <f>SUM(B79:Y79)</f>
        <v>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10410.85398772216</v>
      </c>
      <c r="C81" s="46">
        <f>(SUM($AA$18:$AA$29)-SUM($AA$36,$AA$42,$AA$48,$AA$54,$AA$60,$AA$66,$AA$72:$AA$79))*Parameters!$B$37/12</f>
        <v>10410.85398772216</v>
      </c>
      <c r="D81" s="46">
        <f>(SUM($AA$18:$AA$29)-SUM($AA$36,$AA$42,$AA$48,$AA$54,$AA$60,$AA$66,$AA$72:$AA$79))*Parameters!$B$37/12</f>
        <v>10410.85398772216</v>
      </c>
      <c r="E81" s="46">
        <f>(SUM($AA$18:$AA$29)-SUM($AA$36,$AA$42,$AA$48,$AA$54,$AA$60,$AA$66,$AA$72:$AA$79))*Parameters!$B$37/12</f>
        <v>10410.85398772216</v>
      </c>
      <c r="F81" s="46">
        <f>(SUM($AA$18:$AA$29)-SUM($AA$36,$AA$42,$AA$48,$AA$54,$AA$60,$AA$66,$AA$72:$AA$79))*Parameters!$B$37/12</f>
        <v>10410.85398772216</v>
      </c>
      <c r="G81" s="46">
        <f>(SUM($AA$18:$AA$29)-SUM($AA$36,$AA$42,$AA$48,$AA$54,$AA$60,$AA$66,$AA$72:$AA$79))*Parameters!$B$37/12</f>
        <v>10410.85398772216</v>
      </c>
      <c r="H81" s="46">
        <f>(SUM($AA$18:$AA$29)-SUM($AA$36,$AA$42,$AA$48,$AA$54,$AA$60,$AA$66,$AA$72:$AA$79))*Parameters!$B$37/12</f>
        <v>10410.85398772216</v>
      </c>
      <c r="I81" s="46">
        <f>(SUM($AA$18:$AA$29)-SUM($AA$36,$AA$42,$AA$48,$AA$54,$AA$60,$AA$66,$AA$72:$AA$79))*Parameters!$B$37/12</f>
        <v>10410.85398772216</v>
      </c>
      <c r="J81" s="46">
        <f>(SUM($AA$18:$AA$29)-SUM($AA$36,$AA$42,$AA$48,$AA$54,$AA$60,$AA$66,$AA$72:$AA$79))*Parameters!$B$37/12</f>
        <v>10410.85398772216</v>
      </c>
      <c r="K81" s="46">
        <f>(SUM($AA$18:$AA$29)-SUM($AA$36,$AA$42,$AA$48,$AA$54,$AA$60,$AA$66,$AA$72:$AA$79))*Parameters!$B$37/12</f>
        <v>10410.85398772216</v>
      </c>
      <c r="L81" s="46">
        <f>(SUM($AA$18:$AA$29)-SUM($AA$36,$AA$42,$AA$48,$AA$54,$AA$60,$AA$66,$AA$72:$AA$79))*Parameters!$B$37/12</f>
        <v>10410.85398772216</v>
      </c>
      <c r="M81" s="46">
        <f>(SUM($AA$18:$AA$29)-SUM($AA$36,$AA$42,$AA$48,$AA$54,$AA$60,$AA$66,$AA$72:$AA$79))*Parameters!$B$37/12</f>
        <v>10410.85398772216</v>
      </c>
      <c r="N81" s="46">
        <f>(SUM($AA$18:$AA$29)-SUM($AA$36,$AA$42,$AA$48,$AA$54,$AA$60,$AA$66,$AA$72:$AA$79))*Parameters!$B$37/12</f>
        <v>10410.85398772216</v>
      </c>
      <c r="O81" s="46">
        <f>(SUM($AA$18:$AA$29)-SUM($AA$36,$AA$42,$AA$48,$AA$54,$AA$60,$AA$66,$AA$72:$AA$79))*Parameters!$B$37/12</f>
        <v>10410.85398772216</v>
      </c>
      <c r="P81" s="46">
        <f>(SUM($AA$18:$AA$29)-SUM($AA$36,$AA$42,$AA$48,$AA$54,$AA$60,$AA$66,$AA$72:$AA$79))*Parameters!$B$37/12</f>
        <v>10410.85398772216</v>
      </c>
      <c r="Q81" s="46">
        <f>(SUM($AA$18:$AA$29)-SUM($AA$36,$AA$42,$AA$48,$AA$54,$AA$60,$AA$66,$AA$72:$AA$79))*Parameters!$B$37/12</f>
        <v>10410.85398772216</v>
      </c>
      <c r="R81" s="46">
        <f>(SUM($AA$18:$AA$29)-SUM($AA$36,$AA$42,$AA$48,$AA$54,$AA$60,$AA$66,$AA$72:$AA$79))*Parameters!$B$37/12</f>
        <v>10410.85398772216</v>
      </c>
      <c r="S81" s="46">
        <f>(SUM($AA$18:$AA$29)-SUM($AA$36,$AA$42,$AA$48,$AA$54,$AA$60,$AA$66,$AA$72:$AA$79))*Parameters!$B$37/12</f>
        <v>10410.85398772216</v>
      </c>
      <c r="T81" s="46">
        <f>(SUM($AA$18:$AA$29)-SUM($AA$36,$AA$42,$AA$48,$AA$54,$AA$60,$AA$66,$AA$72:$AA$79))*Parameters!$B$37/12</f>
        <v>10410.85398772216</v>
      </c>
      <c r="U81" s="46">
        <f>(SUM($AA$18:$AA$29)-SUM($AA$36,$AA$42,$AA$48,$AA$54,$AA$60,$AA$66,$AA$72:$AA$79))*Parameters!$B$37/12</f>
        <v>10410.85398772216</v>
      </c>
      <c r="V81" s="46">
        <f>(SUM($AA$18:$AA$29)-SUM($AA$36,$AA$42,$AA$48,$AA$54,$AA$60,$AA$66,$AA$72:$AA$79))*Parameters!$B$37/12</f>
        <v>10410.85398772216</v>
      </c>
      <c r="W81" s="46">
        <f>(SUM($AA$18:$AA$29)-SUM($AA$36,$AA$42,$AA$48,$AA$54,$AA$60,$AA$66,$AA$72:$AA$79))*Parameters!$B$37/12</f>
        <v>10410.85398772216</v>
      </c>
      <c r="X81" s="46">
        <f>(SUM($AA$18:$AA$29)-SUM($AA$36,$AA$42,$AA$48,$AA$54,$AA$60,$AA$66,$AA$72:$AA$79))*Parameters!$B$37/12</f>
        <v>10410.85398772216</v>
      </c>
      <c r="Y81" s="46">
        <f>(SUM($AA$18:$AA$29)-SUM($AA$36,$AA$42,$AA$48,$AA$54,$AA$60,$AA$66,$AA$72:$AA$79))*Parameters!$B$37/12</f>
        <v>10410.85398772216</v>
      </c>
      <c r="Z81" s="46">
        <f>SUMIF($B$13:$Y$13,"Yes",B81:Y81)</f>
        <v>135341.1018403881</v>
      </c>
      <c r="AA81" s="46">
        <f>SUM(B81:M81)</f>
        <v>124930.2478526659</v>
      </c>
      <c r="AB81" s="46">
        <f>SUM(B81:Y81)</f>
        <v>249860.4957053319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33839.10398772216</v>
      </c>
      <c r="C88" s="19">
        <f>SUM(C72:C82,C66,C60,C54,C48,C42,C36)</f>
        <v>22430.10398772216</v>
      </c>
      <c r="D88" s="19">
        <f>SUM(D72:D82,D66,D60,D54,D48,D42,D36)</f>
        <v>26330.10398772216</v>
      </c>
      <c r="E88" s="19">
        <f>SUM(E72:E82,E66,E60,E54,E48,E42,E36)</f>
        <v>22430.10398772216</v>
      </c>
      <c r="F88" s="19">
        <f>SUM(F72:F82,F66,F60,F54,F48,F42,F36)</f>
        <v>22678.82651629735</v>
      </c>
      <c r="G88" s="19">
        <f>SUM(G72:G82,G66,G60,G54,G48,G42,G36)</f>
        <v>16942.10398772216</v>
      </c>
      <c r="H88" s="19">
        <f>SUM(H72:H82,H66,H60,H54,H48,H42,H36)</f>
        <v>33839.10398772216</v>
      </c>
      <c r="I88" s="19">
        <f>SUM(I72:I82,I66,I60,I54,I48,I42,I36)</f>
        <v>22430.10398772216</v>
      </c>
      <c r="J88" s="19">
        <f>SUM(J72:J82,J66,J60,J54,J48,J42,J36)</f>
        <v>26330.10398772216</v>
      </c>
      <c r="K88" s="19">
        <f>SUM(K72:K82,K66,K60,K54,K48,K42,K36)</f>
        <v>22430.10398772216</v>
      </c>
      <c r="L88" s="19">
        <f>SUM(L72:L82,L66,L60,L54,L48,L42,L36)</f>
        <v>22678.82651629735</v>
      </c>
      <c r="M88" s="19">
        <f>SUM(M72:M82,M66,M60,M54,M48,M42,M36)</f>
        <v>16942.10398772216</v>
      </c>
      <c r="N88" s="19">
        <f>SUM(N72:N82,N66,N60,N54,N48,N42,N36)</f>
        <v>33839.10398772216</v>
      </c>
      <c r="O88" s="19">
        <f>SUM(O72:O82,O66,O60,O54,O48,O42,O36)</f>
        <v>22430.10398772216</v>
      </c>
      <c r="P88" s="19">
        <f>SUM(P72:P82,P66,P60,P54,P48,P42,P36)</f>
        <v>26330.10398772216</v>
      </c>
      <c r="Q88" s="19">
        <f>SUM(Q72:Q82,Q66,Q60,Q54,Q48,Q42,Q36)</f>
        <v>22430.10398772216</v>
      </c>
      <c r="R88" s="19">
        <f>SUM(R72:R82,R66,R60,R54,R48,R42,R36)</f>
        <v>22678.82651629735</v>
      </c>
      <c r="S88" s="19">
        <f>SUM(S72:S82,S66,S60,S54,S48,S42,S36)</f>
        <v>16942.10398772216</v>
      </c>
      <c r="T88" s="19">
        <f>SUM(T72:T82,T66,T60,T54,T48,T42,T36)</f>
        <v>33839.10398772216</v>
      </c>
      <c r="U88" s="19">
        <f>SUM(U72:U82,U66,U60,U54,U48,U42,U36)</f>
        <v>22430.10398772216</v>
      </c>
      <c r="V88" s="19">
        <f>SUM(V72:V82,V66,V60,V54,V48,V42,V36)</f>
        <v>26330.10398772216</v>
      </c>
      <c r="W88" s="19">
        <f>SUM(W72:W82,W66,W60,W54,W48,W42,W36)</f>
        <v>22430.10398772216</v>
      </c>
      <c r="X88" s="19">
        <f>SUM(X72:X82,X66,X60,X54,X48,X42,X36)</f>
        <v>22678.82651629735</v>
      </c>
      <c r="Y88" s="19">
        <f>SUM(Y72:Y82,Y66,Y60,Y54,Y48,Y42,Y36)</f>
        <v>16942.10398772216</v>
      </c>
      <c r="Z88" s="19">
        <f>SUMIF($B$13:$Y$13,"Yes",B88:Y88)</f>
        <v>323139.7968975384</v>
      </c>
      <c r="AA88" s="19">
        <f>SUM(B88:M88)</f>
        <v>289300.6929098163</v>
      </c>
      <c r="AB88" s="19">
        <f>SUM(B88:Y88)</f>
        <v>578601.3858196323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23500</v>
      </c>
    </row>
    <row r="95" spans="1:30">
      <c r="A95" t="s">
        <v>61</v>
      </c>
      <c r="B95" s="36">
        <f>Inputs!B47</f>
        <v>45200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1600000</v>
      </c>
    </row>
    <row r="98" spans="1:30">
      <c r="A98" t="s">
        <v>64</v>
      </c>
      <c r="B98" s="36">
        <f>IF(Inputs!B44="Yes",Inputs!B45,0)</f>
        <v>355450</v>
      </c>
    </row>
    <row r="99" spans="1:30">
      <c r="A99" t="s">
        <v>65</v>
      </c>
      <c r="B99" s="36">
        <f>Inputs!B46</f>
        <v>150900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2775050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1</v>
      </c>
    </row>
    <row r="9" spans="1:48">
      <c r="A9" s="143" t="s">
        <v>97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0</v>
      </c>
    </row>
    <row r="10" spans="1:48">
      <c r="A10" s="143" t="s">
        <v>97</v>
      </c>
      <c r="B10" s="16" t="s">
        <v>98</v>
      </c>
      <c r="C10" s="143">
        <v>2</v>
      </c>
      <c r="D10" s="16">
        <v>6500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99</v>
      </c>
      <c r="K10" s="138" t="s">
        <v>100</v>
      </c>
      <c r="L10" s="16">
        <v>30</v>
      </c>
      <c r="M10" s="165">
        <v>5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3</v>
      </c>
      <c r="D19" s="145">
        <v>1</v>
      </c>
      <c r="E19" s="20"/>
      <c r="F19" s="145" t="s">
        <v>92</v>
      </c>
      <c r="G19" s="20"/>
      <c r="H19" s="20"/>
      <c r="I19" s="145" t="s">
        <v>115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30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15000</v>
      </c>
    </row>
    <row r="31" spans="1:48">
      <c r="A31" s="5" t="s">
        <v>122</v>
      </c>
      <c r="B31" s="158">
        <v>2500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355450</v>
      </c>
    </row>
    <row r="46" spans="1:48" customHeight="1" ht="30">
      <c r="A46" s="57" t="s">
        <v>136</v>
      </c>
      <c r="B46" s="161">
        <v>150900</v>
      </c>
    </row>
    <row r="47" spans="1:48" customHeight="1" ht="30">
      <c r="A47" s="57" t="s">
        <v>137</v>
      </c>
      <c r="B47" s="161">
        <v>45200</v>
      </c>
    </row>
    <row r="48" spans="1:48" customHeight="1" ht="30">
      <c r="A48" s="57" t="s">
        <v>138</v>
      </c>
      <c r="B48" s="161">
        <v>0</v>
      </c>
    </row>
    <row r="49" spans="1:48" customHeight="1" ht="30">
      <c r="A49" s="57" t="s">
        <v>139</v>
      </c>
      <c r="B49" s="161">
        <v>23500</v>
      </c>
    </row>
    <row r="50" spans="1:48">
      <c r="A50" s="43"/>
      <c r="B50" s="36"/>
    </row>
    <row r="51" spans="1:48">
      <c r="A51" s="58" t="s">
        <v>140</v>
      </c>
      <c r="B51" s="161">
        <v>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149</v>
      </c>
      <c r="C65" s="10" t="s">
        <v>150</v>
      </c>
    </row>
    <row r="66" spans="1:48">
      <c r="A66" s="142" t="s">
        <v>151</v>
      </c>
      <c r="B66" s="159">
        <v>61881</v>
      </c>
      <c r="C66" s="163">
        <v>61714</v>
      </c>
      <c r="D66" s="49">
        <f>INDEX(Parameters!$D$79:$D$90,MATCH(Inputs!A66,Parameters!$C$79:$C$90,0))</f>
        <v>11</v>
      </c>
    </row>
    <row r="67" spans="1:48">
      <c r="A67" s="143" t="s">
        <v>152</v>
      </c>
      <c r="B67" s="157">
        <v>107218</v>
      </c>
      <c r="C67" s="165">
        <v>108651</v>
      </c>
      <c r="D67" s="49">
        <f>INDEX(Parameters!$D$79:$D$90,MATCH(Inputs!A67,Parameters!$C$79:$C$90,0))</f>
        <v>10</v>
      </c>
    </row>
    <row r="68" spans="1:48">
      <c r="A68" s="143" t="s">
        <v>153</v>
      </c>
      <c r="B68" s="157">
        <v>69549</v>
      </c>
      <c r="C68" s="165">
        <v>68023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86122</v>
      </c>
      <c r="C69" s="165">
        <v>86116</v>
      </c>
      <c r="D69" s="49">
        <f>INDEX(Parameters!$D$79:$D$90,MATCH(Inputs!A69,Parameters!$C$79:$C$90,0))</f>
        <v>8</v>
      </c>
    </row>
    <row r="70" spans="1:48">
      <c r="A70" s="143" t="s">
        <v>155</v>
      </c>
      <c r="B70" s="157">
        <v>23460</v>
      </c>
      <c r="C70" s="165">
        <v>23495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73441</v>
      </c>
      <c r="C71" s="167">
        <v>73420</v>
      </c>
      <c r="D71" s="49">
        <f>INDEX(Parameters!$D$79:$D$90,MATCH(Inputs!A71,Parameters!$C$79:$C$90,0))</f>
        <v>6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18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>
        <v>2</v>
      </c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2848.85215848055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107686.6115905648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596.9340685804706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26324.79242439875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248.7225285751961</v>
      </c>
      <c r="AB5" s="34">
        <f>H5*IFERROR(INDEX(Parameters!$A$3:$AI$17,MATCH(Calculations!A5,Parameters!$A$3:$A$17,0),MATCH(Parameters!$O$3,Parameters!$A$3:$AI$3,0)),AVERAGE(Parameters!$O$4:$O$17))*(1-Inputs!$B$25/100)</f>
        <v>14000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2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3250</v>
      </c>
      <c r="M7" s="30">
        <f>L7*H7</f>
        <v>6500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30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185250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4000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161368.4210526316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43136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43132</v>
      </c>
      <c r="F33" t="s">
        <v>162</v>
      </c>
      <c r="G33" s="128">
        <f>IF(Inputs!B79="","",DATE(YEAR(Inputs!B79),MONTH(Inputs!B79),DAY(Inputs!B79)))</f>
        <v>43105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43164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43160</v>
      </c>
      <c r="F34" t="s">
        <v>163</v>
      </c>
      <c r="G34" s="128">
        <f>IF(Inputs!B80="","",DATE(YEAR(Inputs!B80),MONTH(Inputs!B80),DAY(Inputs!B80)))</f>
        <v>43136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43195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43191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43225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43221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43256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43252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43286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43282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43317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43313</v>
      </c>
      <c r="F39" t="s">
        <v>171</v>
      </c>
      <c r="G39" s="27">
        <f>IF(Inputs!B86="",0,Inputs!B86)</f>
        <v>2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43348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43344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43378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43374</v>
      </c>
      <c r="F41" t="s">
        <v>229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43409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43405</v>
      </c>
      <c r="F42" t="s">
        <v>230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43439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43470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203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102</v>
      </c>
      <c r="B41" s="191" t="s">
        <v>313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133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133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115</v>
      </c>
      <c r="H78" s="12" t="s">
        <v>316</v>
      </c>
      <c r="I78" s="12" t="s">
        <v>357</v>
      </c>
      <c r="J78" s="70" t="s">
        <v>358</v>
      </c>
      <c r="K78" s="12" t="s">
        <v>313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362</v>
      </c>
      <c r="K79" s="12" t="s">
        <v>313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100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