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<sst xmlns="http://schemas.openxmlformats.org/spreadsheetml/2006/main" uniqueCount="371">
  <si>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</si>
  <si>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</si>
  <si>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</si>
  <si>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</si>
  <si>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</si>
  <si>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</si>
  <si>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</si>
  <si>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</si>
  <si>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</si>
  <si>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</si>
  <si>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</si>
  <si>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</si>
  <si>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</si>
  <si>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</si>
  <si>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</si>
  <si>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</si>
  <si>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</si>
  <si>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</si>
  <si>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</si>
  <si>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</si>
  <si>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</si>
  <si>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</si>
  <si>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</si>
  <si>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</si>
  <si>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</si>
  <si>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</si>
  <si>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</si>
  <si>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</si>
  <si>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</si>
  <si>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</si>
  <si>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</si>
  <si>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</si>
  <si>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</si>
  <si>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</si>
  <si>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</si>
  <si>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</si>
  <si>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</si>
  <si>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</si>
  <si>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</si>
  <si>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</si>
  <si>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</si>
  <si>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</si>
  <si>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</si>
  <si>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</si>
  <si>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</si>
  <si>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</si>
  <si>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</si>
  <si>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</si>
  <si>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</si>
  <si>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</si>
  <si>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</si>
  <si>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</si>
  <si>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</si>
  <si>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</si>
  <si>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</si>
  <si>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</si>
  <si>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</si>
  <si>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</si>
  <si>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</si>
  <si>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</si>
  <si>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</si>
  <si>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</si>
  <si>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</si>
  <si>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</si>
  <si>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</si>
  <si>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</si>
  <si>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</si>
  <si>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</si>
  <si>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</si>
  <si>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</si>
  <si>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</si>
  <si>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</si>
  <si>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</si>
  <si>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</si>
  <si>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</si>
  <si>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</si>
  <si>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</si>
  <si>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</si>
  <si>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</si>
  <si>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</si>
  <si>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</si>
  <si>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</si>
  <si>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</si>
  <si>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</si>
  <si>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</si>
  <si>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</si>
  <si>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</si>
  <si>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</si>
  <si>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</si>
  <si>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</si>
  <si>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</si>
  <si>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</si>
  <si>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</si>
  <si>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diesel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</si>
  <si>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</si>
  <si>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</si>
  <si>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</si>
  <si>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</si>
  <si>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</si>
  <si>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</si>
  <si>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</si>
  <si>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</si>
  <si>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</si>
  <si>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</si>
  <si>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</si>
  <si>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</si>
  <si>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</si>
  <si>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</si>
  <si>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</si>
  <si>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</si>
  <si>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</si>
  <si>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</si>
  <si>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</si>
  <si>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</si>
  <si>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Bread Baking, Transport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</si>
  <si>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</si>
  <si>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</si>
  <si>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</si>
  <si>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</si>
  <si>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</si>
  <si>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</si>
  <si>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</si>
  <si>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</si>
  <si>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</si>
  <si>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</si>
  <si>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</si>
  <si>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</si>
  <si>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</si>
  <si>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</si>
  <si>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</si>
  <si>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</si>
  <si>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</si>
  <si>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</si>
  <si>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</si>
  <si>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</si>
  <si>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</si>
  <si>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</si>
  <si>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</si>
  <si>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</si>
  <si>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</si>
  <si>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</si>
  <si>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</si>
  <si>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4/28/2016</t>
  </si>
  <si>
    <t>Equity</t>
  </si>
  <si>
    <t>Good</t>
  </si>
  <si>
    <t>2/13/2017</t>
  </si>
  <si>
    <t>Musoni</t>
  </si>
  <si>
    <t>5/15/2015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</si>
  <si>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</si>
  <si>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</si>
  <si>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</si>
  <si>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</si>
  <si>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</si>
  <si>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</si>
  <si>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</si>
  <si>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</si>
  <si>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</si>
  <si>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</si>
  <si>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</si>
  <si>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</si>
  <si>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</si>
  <si>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</si>
  <si>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</si>
  <si>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</si>
  <si>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2018/2/12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</si>
  <si>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</si>
  <si>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</si>
  <si>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</si>
  <si>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</si>
  <si>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</si>
  <si>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</si>
  <si>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</si>
  <si>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</si>
  <si>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</si>
  <si>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</si>
  <si>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</si>
  <si>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</si>
  <si>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</si>
  <si>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</si>
  <si>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</si>
  <si>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</si>
  <si>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</si>
  <si>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</si>
  <si>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</si>
  <si>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</si>
  <si>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</si>
  <si>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</si>
  <si>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</si>
  <si>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</si>
  <si>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</si>
  <si>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</si>
  <si>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</si>
  <si>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</si>
  <si>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</si>
  <si>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</si>
  <si>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</si>
  <si>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</si>
  <si>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</si>
  <si>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</si>
  <si>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</si>
  <si>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</si>
  <si>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</si>
  <si>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</si>
  <si>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</si>
  <si>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</si>
  <si>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</si>
  <si>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</si>
  <si>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</si>
  <si>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</si>
  <si>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</si>
  <si>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</si>
  <si>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</si>
  <si>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</si>
  <si>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</si>
  <si>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</si>
  <si>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</si>
  <si>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</si>
  <si>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</si>
  <si>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</si>
  <si>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</si>
  <si>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</si>
  <si>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</si>
  <si>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</si>
  <si>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</si>
  <si>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</si>
  <si>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</si>
  <si>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</si>
  <si>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</si>
  <si>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</si>
  <si>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</si>
  <si>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</si>
  <si>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</si>
  <si>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</si>
  <si>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</si>
  <si>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</si>
  <si>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</si>
  <si>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</si>
  <si>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</si>
  <si>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</si>
  <si>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</si>
  <si>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</si>
  <si>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</si>
  <si>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</si>
  <si>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</si>
  <si>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</si>
  <si>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</si>
  <si>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</si>
  <si>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</si>
  <si>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</si>
  <si>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</si>
  <si>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</si>
  <si>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</si>
  <si>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</si>
  <si>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</si>
  <si>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</si>
  <si>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</si>
  <si>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</si>
  <si>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</si>
  <si>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</si>
  <si>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</si>
  <si>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</si>
  <si>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</si>
  <si>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</si>
  <si>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</si>
  <si>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</si>
  <si>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</si>
  <si>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</si>
  <si>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</si>
  <si>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</si>
  <si>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</si>
  <si>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</si>
  <si>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</si>
  <si>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</si>
  <si>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</si>
  <si>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</si>
  <si>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</si>
  <si>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</si>
  <si>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</si>
  <si>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</si>
  <si>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</si>
  <si>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</si>
  <si>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</si>
  <si>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</si>
  <si>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</si>
  <si>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</si>
  <si>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</si>
  <si>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</si>
  <si>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</si>
  <si>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</si>
  <si>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</si>
  <si>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</si>
  <si>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</si>
  <si>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</si>
  <si>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</si>
  <si>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</si>
  <si>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</si>
  <si>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</si>
  <si>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</si>
  <si>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</si>
  <si>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</si>
  <si>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</si>
  <si>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</si>
  <si>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</si>
  <si>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</si>
  <si>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</si>
  <si>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</si>
  <si>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</si>
  <si>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</si>
  <si>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</si>
  <si>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</si>
  <si>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</si>
  <si>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</si>
  <si>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</si>
  <si>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</si>
  <si>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</si>
  <si>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</si>
  <si>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</si>
  <si>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</si>
  <si>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</si>
  <si>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</si>
  <si>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</si>
  <si>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</si>
  <si>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</si>
  <si>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</si>
  <si>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</si>
  <si>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</si>
  <si>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</si>
  <si>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</si>
  <si>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</si>
  <si>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</si>
  <si>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</si>
  <si>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</si>
  <si>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</si>
  <si>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</si>
  <si>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</si>
  <si>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</si>
  <si>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</si>
  <si>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</si>
  <si>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</si>
  <si>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</si>
  <si>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</si>
  <si>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</si>
  <si>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</si>
  <si>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</si>
  <si>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</si>
  <si>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</si>
  <si>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</si>
  <si>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</si>
  <si>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</si>
  <si>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</si>
  <si>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</si>
  <si>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</si>
  <si>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</si>
  <si>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</si>
  <si>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</si>
  <si>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</si>
  <si>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</si>
  <si>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</si>
  <si>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</si>
  <si>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</si>
  <si>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</si>
  <si>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</si>
  <si>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</si>
  <si>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</si>
  <si>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</si>
  <si>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without the use of a pump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</si>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</sst>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Bread Baking, Transport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0.3060668568967803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0.1158725067655608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21515.15151515151</v>
      </c>
    </row>
    <row r="17" spans="1:7">
      <c r="B17" s="1" t="s">
        <v>11</v>
      </c>
      <c r="C17" s="36">
        <f>SUM(Output!B6:M6)</f>
        <v>549061.8675461237</v>
      </c>
    </row>
    <row r="18" spans="1:7">
      <c r="B18" s="1" t="s">
        <v>12</v>
      </c>
      <c r="C18" s="36">
        <f>MIN(Output!B6:M6)</f>
        <v>35080.53334421176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77576.26705200307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81666.66666666667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35080.53334421176</v>
      </c>
      <c r="C6" s="51">
        <f>C30-C88</f>
        <v>39686.53334421176</v>
      </c>
      <c r="D6" s="51">
        <f>D30-D88</f>
        <v>39086.53334421176</v>
      </c>
      <c r="E6" s="51">
        <f>E30-E88</f>
        <v>39686.53334421176</v>
      </c>
      <c r="F6" s="51">
        <f>F30-F88</f>
        <v>77576.26705200307</v>
      </c>
      <c r="G6" s="51">
        <f>G30-G88</f>
        <v>43414.53334421176</v>
      </c>
      <c r="H6" s="51">
        <f>H30-H88</f>
        <v>35080.53334421176</v>
      </c>
      <c r="I6" s="51">
        <f>I30-I88</f>
        <v>39686.53334421176</v>
      </c>
      <c r="J6" s="51">
        <f>J30-J88</f>
        <v>39086.53334421176</v>
      </c>
      <c r="K6" s="51">
        <f>K30-K88</f>
        <v>39686.53334421176</v>
      </c>
      <c r="L6" s="51">
        <f>L30-L88</f>
        <v>77576.26705200307</v>
      </c>
      <c r="M6" s="51">
        <f>M30-M88</f>
        <v>43414.53334421176</v>
      </c>
      <c r="N6" s="51">
        <f>N30-N88</f>
        <v>35080.53334421176</v>
      </c>
      <c r="O6" s="51">
        <f>O30-O88</f>
        <v>39686.53334421176</v>
      </c>
      <c r="P6" s="51">
        <f>P30-P88</f>
        <v>39086.53334421176</v>
      </c>
      <c r="Q6" s="51">
        <f>Q30-Q88</f>
        <v>39686.53334421176</v>
      </c>
      <c r="R6" s="51">
        <f>R30-R88</f>
        <v>77576.26705200307</v>
      </c>
      <c r="S6" s="51">
        <f>S30-S88</f>
        <v>43414.53334421176</v>
      </c>
      <c r="T6" s="51">
        <f>T30-T88</f>
        <v>35080.53334421176</v>
      </c>
      <c r="U6" s="51">
        <f>U30-U88</f>
        <v>39686.53334421176</v>
      </c>
      <c r="V6" s="51">
        <f>V30-V88</f>
        <v>39086.53334421176</v>
      </c>
      <c r="W6" s="51">
        <f>W30-W88</f>
        <v>39686.53334421176</v>
      </c>
      <c r="X6" s="51">
        <f>X30-X88</f>
        <v>78402.52511651919</v>
      </c>
      <c r="Y6" s="51">
        <f>Y30-Y88</f>
        <v>45907.50108614724</v>
      </c>
      <c r="Z6" s="51">
        <f>SUMIF($B$13:$Y$13,"Yes",B6:Y6)</f>
        <v>584142.4008903354</v>
      </c>
      <c r="AA6" s="51">
        <f>AA30-AA88</f>
        <v>549061.8675461235</v>
      </c>
      <c r="AB6" s="51">
        <f>AB30-AB88</f>
        <v>1101442.960898699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14075</v>
      </c>
      <c r="I7" s="80">
        <f>IF(ISERROR(VLOOKUP(MONTH(I5),Inputs!$D$66:$D$71,1,0)),"",INDEX(Inputs!$B$66:$B$71,MATCH(MONTH(Output!I5),Inputs!$D$66:$D$71,0))-INDEX(Inputs!$C$66:$C$71,MATCH(MONTH(Output!I5),Inputs!$D$66:$D$71,0)))</f>
        <v>-165</v>
      </c>
      <c r="J7" s="80">
        <f>IF(ISERROR(VLOOKUP(MONTH(J5),Inputs!$D$66:$D$71,1,0)),"",INDEX(Inputs!$B$66:$B$71,MATCH(MONTH(Output!J5),Inputs!$D$66:$D$71,0))-INDEX(Inputs!$C$66:$C$71,MATCH(MONTH(Output!J5),Inputs!$D$66:$D$71,0)))</f>
        <v>-13965</v>
      </c>
      <c r="K7" s="80">
        <f>IF(ISERROR(VLOOKUP(MONTH(K5),Inputs!$D$66:$D$71,1,0)),"",INDEX(Inputs!$B$66:$B$71,MATCH(MONTH(Output!K5),Inputs!$D$66:$D$71,0))-INDEX(Inputs!$C$66:$C$71,MATCH(MONTH(Output!K5),Inputs!$D$66:$D$71,0)))</f>
        <v>17</v>
      </c>
      <c r="L7" s="80">
        <f>IF(ISERROR(VLOOKUP(MONTH(L5),Inputs!$D$66:$D$71,1,0)),"",INDEX(Inputs!$B$66:$B$71,MATCH(MONTH(Output!L5),Inputs!$D$66:$D$71,0))-INDEX(Inputs!$C$66:$C$71,MATCH(MONTH(Output!L5),Inputs!$D$66:$D$71,0)))</f>
        <v>2867</v>
      </c>
      <c r="M7" s="80">
        <f>IF(ISERROR(VLOOKUP(MONTH(M5),Inputs!$D$66:$D$71,1,0)),"",INDEX(Inputs!$B$66:$B$71,MATCH(MONTH(Output!M5),Inputs!$D$66:$D$71,0))-INDEX(Inputs!$C$66:$C$71,MATCH(MONTH(Output!M5),Inputs!$D$66:$D$71,0)))</f>
        <v>-2527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14075</v>
      </c>
      <c r="U7" s="80">
        <f>IF(ISERROR(VLOOKUP(MONTH(U5),Inputs!$D$66:$D$71,1,0)),"",INDEX(Inputs!$B$66:$B$71,MATCH(MONTH(Output!U5),Inputs!$D$66:$D$71,0))-INDEX(Inputs!$C$66:$C$71,MATCH(MONTH(Output!U5),Inputs!$D$66:$D$71,0)))</f>
        <v>-165</v>
      </c>
      <c r="V7" s="80">
        <f>IF(ISERROR(VLOOKUP(MONTH(V5),Inputs!$D$66:$D$71,1,0)),"",INDEX(Inputs!$B$66:$B$71,MATCH(MONTH(Output!V5),Inputs!$D$66:$D$71,0))-INDEX(Inputs!$C$66:$C$71,MATCH(MONTH(Output!V5),Inputs!$D$66:$D$71,0)))</f>
        <v>-13965</v>
      </c>
      <c r="W7" s="80">
        <f>IF(ISERROR(VLOOKUP(MONTH(W5),Inputs!$D$66:$D$71,1,0)),"",INDEX(Inputs!$B$66:$B$71,MATCH(MONTH(Output!W5),Inputs!$D$66:$D$71,0))-INDEX(Inputs!$C$66:$C$71,MATCH(MONTH(Output!W5),Inputs!$D$66:$D$71,0)))</f>
        <v>17</v>
      </c>
      <c r="X7" s="80">
        <f>IF(ISERROR(VLOOKUP(MONTH(X5),Inputs!$D$66:$D$71,1,0)),"",INDEX(Inputs!$B$66:$B$71,MATCH(MONTH(Output!X5),Inputs!$D$66:$D$71,0))-INDEX(Inputs!$C$66:$C$71,MATCH(MONTH(Output!X5),Inputs!$D$66:$D$71,0)))</f>
        <v>2867</v>
      </c>
      <c r="Y7" s="80">
        <f>IF(ISERROR(VLOOKUP(MONTH(Y5),Inputs!$D$66:$D$71,1,0)),"",INDEX(Inputs!$B$66:$B$71,MATCH(MONTH(Output!Y5),Inputs!$D$66:$D$71,0))-INDEX(Inputs!$C$66:$C$71,MATCH(MONTH(Output!Y5),Inputs!$D$66:$D$71,0)))</f>
        <v>-2527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3333.333333333333</v>
      </c>
      <c r="D10" s="37">
        <f>SUMPRODUCT((Calculations!$D$33:$D$84=Output!D5)+0,Calculations!$C$33:$C$84)</f>
        <v>21515.15151515151</v>
      </c>
      <c r="E10" s="37">
        <f>SUMPRODUCT((Calculations!$D$33:$D$84=Output!E5)+0,Calculations!$C$33:$C$84)</f>
        <v>21515.15151515151</v>
      </c>
      <c r="F10" s="37">
        <f>SUMPRODUCT((Calculations!$D$33:$D$84=Output!F5)+0,Calculations!$C$33:$C$84)</f>
        <v>21515.15151515151</v>
      </c>
      <c r="G10" s="37">
        <f>SUMPRODUCT((Calculations!$D$33:$D$84=Output!G5)+0,Calculations!$C$33:$C$84)</f>
        <v>21515.15151515151</v>
      </c>
      <c r="H10" s="37">
        <f>SUMPRODUCT((Calculations!$D$33:$D$84=Output!H5)+0,Calculations!$C$33:$C$84)</f>
        <v>21515.15151515151</v>
      </c>
      <c r="I10" s="37">
        <f>SUMPRODUCT((Calculations!$D$33:$D$84=Output!I5)+0,Calculations!$C$33:$C$84)</f>
        <v>21515.15151515151</v>
      </c>
      <c r="J10" s="37">
        <f>SUMPRODUCT((Calculations!$D$33:$D$84=Output!J5)+0,Calculations!$C$33:$C$84)</f>
        <v>21515.15151515151</v>
      </c>
      <c r="K10" s="37">
        <f>SUMPRODUCT((Calculations!$D$33:$D$84=Output!K5)+0,Calculations!$C$33:$C$84)</f>
        <v>21515.15151515151</v>
      </c>
      <c r="L10" s="37">
        <f>SUMPRODUCT((Calculations!$D$33:$D$84=Output!L5)+0,Calculations!$C$33:$C$84)</f>
        <v>21515.15151515151</v>
      </c>
      <c r="M10" s="37">
        <f>SUMPRODUCT((Calculations!$D$33:$D$84=Output!M5)+0,Calculations!$C$33:$C$84)</f>
        <v>21515.15151515151</v>
      </c>
      <c r="N10" s="37">
        <f>SUMPRODUCT((Calculations!$D$33:$D$84=Output!N5)+0,Calculations!$C$33:$C$84)</f>
        <v>21515.15151515151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218484.8484848485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235080.5333442118</v>
      </c>
      <c r="C11" s="80">
        <f>C6+C9-C10</f>
        <v>36353.20001087842</v>
      </c>
      <c r="D11" s="80">
        <f>D6+D9-D10</f>
        <v>17571.38182906024</v>
      </c>
      <c r="E11" s="80">
        <f>E6+E9-E10</f>
        <v>18171.38182906024</v>
      </c>
      <c r="F11" s="80">
        <f>F6+F9-F10</f>
        <v>56061.11553685155</v>
      </c>
      <c r="G11" s="80">
        <f>G6+G9-G10</f>
        <v>21899.38182906024</v>
      </c>
      <c r="H11" s="80">
        <f>H6+H9-H10</f>
        <v>13565.38182906024</v>
      </c>
      <c r="I11" s="80">
        <f>I6+I9-I10</f>
        <v>18171.38182906024</v>
      </c>
      <c r="J11" s="80">
        <f>J6+J9-J10</f>
        <v>17571.38182906024</v>
      </c>
      <c r="K11" s="80">
        <f>K6+K9-K10</f>
        <v>18171.38182906024</v>
      </c>
      <c r="L11" s="80">
        <f>L6+L9-L10</f>
        <v>56061.11553685155</v>
      </c>
      <c r="M11" s="80">
        <f>M6+M9-M10</f>
        <v>21899.38182906024</v>
      </c>
      <c r="N11" s="80">
        <f>N6+N9-N10</f>
        <v>13565.38182906024</v>
      </c>
      <c r="O11" s="80">
        <f>O6+O9-O10</f>
        <v>39686.53334421176</v>
      </c>
      <c r="P11" s="80">
        <f>P6+P9-P10</f>
        <v>39086.53334421176</v>
      </c>
      <c r="Q11" s="80">
        <f>Q6+Q9-Q10</f>
        <v>39686.53334421176</v>
      </c>
      <c r="R11" s="80">
        <f>R6+R9-R10</f>
        <v>77576.26705200307</v>
      </c>
      <c r="S11" s="80">
        <f>S6+S9-S10</f>
        <v>43414.53334421176</v>
      </c>
      <c r="T11" s="80">
        <f>T6+T9-T10</f>
        <v>35080.53334421176</v>
      </c>
      <c r="U11" s="80">
        <f>U6+U9-U10</f>
        <v>39686.53334421176</v>
      </c>
      <c r="V11" s="80">
        <f>V6+V9-V10</f>
        <v>39086.53334421176</v>
      </c>
      <c r="W11" s="80">
        <f>W6+W9-W10</f>
        <v>39686.53334421176</v>
      </c>
      <c r="X11" s="80">
        <f>X6+X9-X10</f>
        <v>78402.52511651919</v>
      </c>
      <c r="Y11" s="80">
        <f>Y6+Y9-Y10</f>
        <v>45907.50108614724</v>
      </c>
      <c r="Z11" s="85">
        <f>SUMIF($B$13:$Y$13,"Yes",B11:Y11)</f>
        <v>544142.4008903357</v>
      </c>
      <c r="AA11" s="80">
        <f>SUM(B11:M11)</f>
        <v>530577.0190612754</v>
      </c>
      <c r="AB11" s="46">
        <f>SUM(B11:Y11)</f>
        <v>1061442.960898699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0.01213148785808897</v>
      </c>
      <c r="D12" s="82">
        <f>IF(D13="Yes",IF(SUM($B$10:D10)/(SUM($B$6:D6)+SUM($B$9:D9))&lt;0,999.99,SUM($B$10:D10)/(SUM($B$6:D6)+SUM($B$9:D9))),"")</f>
        <v>0.07917221547212151</v>
      </c>
      <c r="E12" s="82">
        <f>IF(E13="Yes",IF(SUM($B$10:E10)/(SUM($B$6:E6)+SUM($B$9:E9))&lt;0,999.99,SUM($B$10:E10)/(SUM($B$6:E6)+SUM($B$9:E9))),"")</f>
        <v>0.131141084099259</v>
      </c>
      <c r="F12" s="82">
        <f>IF(F13="Yes",IF(SUM($B$10:F10)/(SUM($B$6:F6)+SUM($B$9:F9))&lt;0,999.99,SUM($B$10:F10)/(SUM($B$6:F6)+SUM($B$9:F9))),"")</f>
        <v>0.1574488648802642</v>
      </c>
      <c r="G12" s="82">
        <f>IF(G13="Yes",IF(SUM($B$10:G10)/(SUM($B$6:G6)+SUM($B$9:G9))&lt;0,999.99,SUM($B$10:G10)/(SUM($B$6:G6)+SUM($B$9:G9))),"")</f>
        <v>0.1883837976233829</v>
      </c>
      <c r="H12" s="82">
        <f>IF(H13="Yes",IF(SUM($B$10:H10)/(SUM($B$6:H6)+SUM($B$9:H9))&lt;0,999.99,SUM($B$10:H10)/(SUM($B$6:H6)+SUM($B$9:H9))),"")</f>
        <v>0.2176346060979984</v>
      </c>
      <c r="I12" s="82">
        <f>IF(I13="Yes",IF(SUM($B$10:I10)/(SUM($B$6:I6)+SUM($B$9:I9))&lt;0,999.99,SUM($B$10:I10)/(SUM($B$6:I6)+SUM($B$9:I9))),"")</f>
        <v>0.2410790541982457</v>
      </c>
      <c r="J12" s="82">
        <f>IF(J13="Yes",IF(SUM($B$10:J10)/(SUM($B$6:J6)+SUM($B$9:J9))&lt;0,999.99,SUM($B$10:J10)/(SUM($B$6:J6)+SUM($B$9:J9))),"")</f>
        <v>0.2616305920614656</v>
      </c>
      <c r="K12" s="82">
        <f>IF(K13="Yes",IF(SUM($B$10:K10)/(SUM($B$6:K6)+SUM($B$9:K9))&lt;0,999.99,SUM($B$10:K10)/(SUM($B$6:K6)+SUM($B$9:K9))),"")</f>
        <v>0.2793546059217973</v>
      </c>
      <c r="L12" s="82">
        <f>IF(L13="Yes",IF(SUM($B$10:L10)/(SUM($B$6:L6)+SUM($B$9:L9))&lt;0,999.99,SUM($B$10:L10)/(SUM($B$6:L6)+SUM($B$9:L9))),"")</f>
        <v>0.2791333395916106</v>
      </c>
      <c r="M12" s="82">
        <f>IF(M13="Yes",IF(SUM($B$10:M10)/(SUM($B$6:M6)+SUM($B$9:M9))&lt;0,999.99,SUM($B$10:M10)/(SUM($B$6:M6)+SUM($B$9:M9))),"")</f>
        <v>0.2916779747453841</v>
      </c>
      <c r="N12" s="82">
        <f>IF(N13="Yes",IF(SUM($B$10:N10)/(SUM($B$6:N6)+SUM($B$9:N9))&lt;0,999.99,SUM($B$10:N10)/(SUM($B$6:N6)+SUM($B$9:N9))),"")</f>
        <v>0.3060668568967803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37889.73370779132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37889.73370779132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37889.73370779132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37889.73370779132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75779.46741558264</v>
      </c>
      <c r="AA18" s="36">
        <f>SUM(B18:M18)</f>
        <v>75779.46741558264</v>
      </c>
      <c r="AB18" s="36">
        <f>SUM(B18:Y18)</f>
        <v>151558.9348311653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61593.75</v>
      </c>
      <c r="C24" s="36">
        <f>IFERROR(Calculations!$P14/12,"")</f>
        <v>61593.75</v>
      </c>
      <c r="D24" s="36">
        <f>IFERROR(Calculations!$P14/12,"")</f>
        <v>61593.75</v>
      </c>
      <c r="E24" s="36">
        <f>IFERROR(Calculations!$P14/12,"")</f>
        <v>61593.75</v>
      </c>
      <c r="F24" s="36">
        <f>IFERROR(Calculations!$P14/12,"")</f>
        <v>61593.75</v>
      </c>
      <c r="G24" s="36">
        <f>IFERROR(Calculations!$P14/12,"")</f>
        <v>61593.75</v>
      </c>
      <c r="H24" s="36">
        <f>IFERROR(Calculations!$P14/12,"")</f>
        <v>61593.75</v>
      </c>
      <c r="I24" s="36">
        <f>IFERROR(Calculations!$P14/12,"")</f>
        <v>61593.75</v>
      </c>
      <c r="J24" s="36">
        <f>IFERROR(Calculations!$P14/12,"")</f>
        <v>61593.75</v>
      </c>
      <c r="K24" s="36">
        <f>IFERROR(Calculations!$P14/12,"")</f>
        <v>61593.75</v>
      </c>
      <c r="L24" s="36">
        <f>IFERROR(Calculations!$P14/12,"")</f>
        <v>61593.75</v>
      </c>
      <c r="M24" s="36">
        <f>IFERROR(Calculations!$P14/12,"")</f>
        <v>61593.75</v>
      </c>
      <c r="N24" s="36">
        <f>IFERROR(Calculations!$P14/12,"")</f>
        <v>61593.75</v>
      </c>
      <c r="O24" s="36">
        <f>IFERROR(Calculations!$P14/12,"")</f>
        <v>61593.75</v>
      </c>
      <c r="P24" s="36">
        <f>IFERROR(Calculations!$P14/12,"")</f>
        <v>61593.75</v>
      </c>
      <c r="Q24" s="36">
        <f>IFERROR(Calculations!$P14/12,"")</f>
        <v>61593.75</v>
      </c>
      <c r="R24" s="36">
        <f>IFERROR(Calculations!$P14/12,"")</f>
        <v>61593.75</v>
      </c>
      <c r="S24" s="36">
        <f>IFERROR(Calculations!$P14/12,"")</f>
        <v>61593.75</v>
      </c>
      <c r="T24" s="36">
        <f>IFERROR(Calculations!$P14/12,"")</f>
        <v>61593.75</v>
      </c>
      <c r="U24" s="36">
        <f>IFERROR(Calculations!$P14/12,"")</f>
        <v>61593.75</v>
      </c>
      <c r="V24" s="36">
        <f>IFERROR(Calculations!$P14/12,"")</f>
        <v>61593.75</v>
      </c>
      <c r="W24" s="36">
        <f>IFERROR(Calculations!$P14/12,"")</f>
        <v>61593.75</v>
      </c>
      <c r="X24" s="36">
        <f>IFERROR(Calculations!$P14/12,"")</f>
        <v>61593.75</v>
      </c>
      <c r="Y24" s="36">
        <f>IFERROR(Calculations!$P14/12,"")</f>
        <v>61593.75</v>
      </c>
      <c r="Z24" s="36">
        <f>SUMIF($B$13:$Y$13,"Yes",B24:Y24)</f>
        <v>800718.75</v>
      </c>
      <c r="AA24" s="36">
        <f>SUM(B24:M24)</f>
        <v>739125</v>
      </c>
      <c r="AB24" s="46">
        <f>SUM(B24:Y24)</f>
        <v>1478250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40500</v>
      </c>
      <c r="C29" s="37">
        <f>Inputs!$B$30</f>
        <v>40500</v>
      </c>
      <c r="D29" s="37">
        <f>Inputs!$B$30</f>
        <v>40500</v>
      </c>
      <c r="E29" s="37">
        <f>Inputs!$B$30</f>
        <v>40500</v>
      </c>
      <c r="F29" s="37">
        <f>Inputs!$B$30</f>
        <v>40500</v>
      </c>
      <c r="G29" s="37">
        <f>Inputs!$B$30</f>
        <v>40500</v>
      </c>
      <c r="H29" s="37">
        <f>Inputs!$B$30</f>
        <v>40500</v>
      </c>
      <c r="I29" s="37">
        <f>Inputs!$B$30</f>
        <v>40500</v>
      </c>
      <c r="J29" s="37">
        <f>Inputs!$B$30</f>
        <v>40500</v>
      </c>
      <c r="K29" s="37">
        <f>Inputs!$B$30</f>
        <v>40500</v>
      </c>
      <c r="L29" s="37">
        <f>Inputs!$B$30</f>
        <v>40500</v>
      </c>
      <c r="M29" s="37">
        <f>Inputs!$B$30</f>
        <v>40500</v>
      </c>
      <c r="N29" s="37">
        <f>Inputs!$B$30</f>
        <v>40500</v>
      </c>
      <c r="O29" s="37">
        <f>Inputs!$B$30</f>
        <v>40500</v>
      </c>
      <c r="P29" s="37">
        <f>Inputs!$B$30</f>
        <v>40500</v>
      </c>
      <c r="Q29" s="37">
        <f>Inputs!$B$30</f>
        <v>40500</v>
      </c>
      <c r="R29" s="37">
        <f>Inputs!$B$30</f>
        <v>40500</v>
      </c>
      <c r="S29" s="37">
        <f>Inputs!$B$30</f>
        <v>40500</v>
      </c>
      <c r="T29" s="37">
        <f>Inputs!$B$30</f>
        <v>40500</v>
      </c>
      <c r="U29" s="37">
        <f>Inputs!$B$30</f>
        <v>40500</v>
      </c>
      <c r="V29" s="37">
        <f>Inputs!$B$30</f>
        <v>40500</v>
      </c>
      <c r="W29" s="37">
        <f>Inputs!$B$30</f>
        <v>40500</v>
      </c>
      <c r="X29" s="37">
        <f>Inputs!$B$30</f>
        <v>40500</v>
      </c>
      <c r="Y29" s="37">
        <f>Inputs!$B$30</f>
        <v>40500</v>
      </c>
      <c r="Z29" s="37">
        <f>SUMIF($B$13:$Y$13,"Yes",B29:Y29)</f>
        <v>526500</v>
      </c>
      <c r="AA29" s="37">
        <f>SUM(B29:M29)</f>
        <v>486000</v>
      </c>
      <c r="AB29" s="37">
        <f>SUM(B29:Y29)</f>
        <v>972000</v>
      </c>
    </row>
    <row r="30" spans="1:30" customHeight="1" ht="15.75">
      <c r="A30" s="1" t="s">
        <v>37</v>
      </c>
      <c r="B30" s="19">
        <f>SUM(B18:B29)</f>
        <v>102093.75</v>
      </c>
      <c r="C30" s="19">
        <f>SUM(C18:C29)</f>
        <v>102093.75</v>
      </c>
      <c r="D30" s="19">
        <f>SUM(D18:D29)</f>
        <v>102093.75</v>
      </c>
      <c r="E30" s="19">
        <f>SUM(E18:E29)</f>
        <v>102093.75</v>
      </c>
      <c r="F30" s="19">
        <f>SUM(F18:F29)</f>
        <v>139983.4837077913</v>
      </c>
      <c r="G30" s="19">
        <f>SUM(G18:G29)</f>
        <v>102093.75</v>
      </c>
      <c r="H30" s="19">
        <f>SUM(H18:H29)</f>
        <v>102093.75</v>
      </c>
      <c r="I30" s="19">
        <f>SUM(I18:I29)</f>
        <v>102093.75</v>
      </c>
      <c r="J30" s="19">
        <f>SUM(J18:J29)</f>
        <v>102093.75</v>
      </c>
      <c r="K30" s="19">
        <f>SUM(K18:K29)</f>
        <v>102093.75</v>
      </c>
      <c r="L30" s="19">
        <f>SUM(L18:L29)</f>
        <v>139983.4837077913</v>
      </c>
      <c r="M30" s="19">
        <f>SUM(M18:M29)</f>
        <v>102093.75</v>
      </c>
      <c r="N30" s="19">
        <f>SUM(N18:N29)</f>
        <v>102093.75</v>
      </c>
      <c r="O30" s="19">
        <f>SUM(O18:O29)</f>
        <v>102093.75</v>
      </c>
      <c r="P30" s="19">
        <f>SUM(P18:P29)</f>
        <v>102093.75</v>
      </c>
      <c r="Q30" s="19">
        <f>SUM(Q18:Q29)</f>
        <v>102093.75</v>
      </c>
      <c r="R30" s="19">
        <f>SUM(R18:R29)</f>
        <v>139983.4837077913</v>
      </c>
      <c r="S30" s="19">
        <f>SUM(S18:S29)</f>
        <v>102093.75</v>
      </c>
      <c r="T30" s="19">
        <f>SUM(T18:T29)</f>
        <v>102093.75</v>
      </c>
      <c r="U30" s="19">
        <f>SUM(U18:U29)</f>
        <v>102093.75</v>
      </c>
      <c r="V30" s="19">
        <f>SUM(V18:V29)</f>
        <v>102093.75</v>
      </c>
      <c r="W30" s="19">
        <f>SUM(W18:W29)</f>
        <v>102093.75</v>
      </c>
      <c r="X30" s="19">
        <f>SUM(X18:X29)</f>
        <v>139983.4837077913</v>
      </c>
      <c r="Y30" s="19">
        <f>SUM(Y18:Y29)</f>
        <v>102093.75</v>
      </c>
      <c r="Z30" s="19">
        <f>SUMIF($B$13:$Y$13,"Yes",B30:Y30)</f>
        <v>1402998.217415582</v>
      </c>
      <c r="AA30" s="19">
        <f>SUM(B30:M30)</f>
        <v>1300904.467415582</v>
      </c>
      <c r="AB30" s="19">
        <f>SUM(B30:Y30)</f>
        <v>2601808.934831165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4000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4000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4000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4000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Maize</v>
      </c>
      <c r="B37" s="36">
        <f>N37</f>
        <v>4000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4000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4000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4000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606.0000000000001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606.0000000000001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606.0000000000001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606.0000000000001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1818</v>
      </c>
      <c r="AA42" s="36">
        <f>SUM(B42:M42)</f>
        <v>1212</v>
      </c>
      <c r="AB42" s="36">
        <f>SUM(B42:Y42)</f>
        <v>2424</v>
      </c>
    </row>
    <row r="43" spans="1:30" hidden="true" outlineLevel="1">
      <c r="A43" s="181" t="str">
        <f>Calculations!$A$4</f>
        <v>Maize</v>
      </c>
      <c r="B43" s="36">
        <f>N43</f>
        <v>606.0000000000001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606.0000000000001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606.0000000000001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606.0000000000001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1818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600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600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600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600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1200</v>
      </c>
      <c r="AA48" s="46">
        <f>SUM(B48:M48)</f>
        <v>1200</v>
      </c>
      <c r="AB48" s="46">
        <f>SUM(B48:Y48)</f>
        <v>2400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600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600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600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600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1200</v>
      </c>
      <c r="AB49" s="46">
        <f>SUM(B49:Y49)</f>
        <v>2400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2000</v>
      </c>
      <c r="C60" s="36">
        <f>O60</f>
        <v>2000</v>
      </c>
      <c r="D60" s="36">
        <f>P60</f>
        <v>2000</v>
      </c>
      <c r="E60" s="36">
        <f>Q60</f>
        <v>2000</v>
      </c>
      <c r="F60" s="36">
        <f>R60</f>
        <v>2000</v>
      </c>
      <c r="G60" s="36">
        <f>S60</f>
        <v>0</v>
      </c>
      <c r="H60" s="36">
        <f>T60</f>
        <v>2000</v>
      </c>
      <c r="I60" s="36">
        <f>U60</f>
        <v>2000</v>
      </c>
      <c r="J60" s="36">
        <f>V60</f>
        <v>2000</v>
      </c>
      <c r="K60" s="36">
        <f>W60</f>
        <v>2000</v>
      </c>
      <c r="L60" s="36">
        <f>X60</f>
        <v>2000</v>
      </c>
      <c r="M60" s="36">
        <f>Y60</f>
        <v>0</v>
      </c>
      <c r="N60" s="46">
        <f>SUM(N61:N65)</f>
        <v>2000</v>
      </c>
      <c r="O60" s="46">
        <f>SUM(O61:O65)</f>
        <v>2000</v>
      </c>
      <c r="P60" s="46">
        <f>SUM(P61:P65)</f>
        <v>2000</v>
      </c>
      <c r="Q60" s="46">
        <f>SUM(Q61:Q65)</f>
        <v>2000</v>
      </c>
      <c r="R60" s="46">
        <f>SUM(R61:R65)</f>
        <v>2000</v>
      </c>
      <c r="S60" s="46">
        <f>SUM(S61:S65)</f>
        <v>0</v>
      </c>
      <c r="T60" s="46">
        <f>SUM(T61:T65)</f>
        <v>2000</v>
      </c>
      <c r="U60" s="46">
        <f>SUM(U61:U65)</f>
        <v>2000</v>
      </c>
      <c r="V60" s="46">
        <f>SUM(V61:V65)</f>
        <v>2000</v>
      </c>
      <c r="W60" s="46">
        <f>SUM(W61:W65)</f>
        <v>2000</v>
      </c>
      <c r="X60" s="46">
        <f>SUM(X61:X65)</f>
        <v>2000</v>
      </c>
      <c r="Y60" s="46">
        <f>SUM(Y61:Y65)</f>
        <v>0</v>
      </c>
      <c r="Z60" s="46">
        <f>SUMIF($B$13:$Y$13,"Yes",B60:Y60)</f>
        <v>22000</v>
      </c>
      <c r="AA60" s="46">
        <f>SUM(B60:M60)</f>
        <v>20000</v>
      </c>
      <c r="AB60" s="46">
        <f>SUM(B60:Y60)</f>
        <v>40000</v>
      </c>
    </row>
    <row r="61" spans="1:30" hidden="true" outlineLevel="1">
      <c r="A61" s="181" t="str">
        <f>Calculations!$A$4</f>
        <v>Maize</v>
      </c>
      <c r="B61" s="36">
        <f>N61</f>
        <v>2000</v>
      </c>
      <c r="C61" s="36">
        <f>O61</f>
        <v>2000</v>
      </c>
      <c r="D61" s="36">
        <f>P61</f>
        <v>2000</v>
      </c>
      <c r="E61" s="36">
        <f>Q61</f>
        <v>2000</v>
      </c>
      <c r="F61" s="36">
        <f>R61</f>
        <v>2000</v>
      </c>
      <c r="G61" s="36">
        <f>S61</f>
        <v>0</v>
      </c>
      <c r="H61" s="36">
        <f>T61</f>
        <v>2000</v>
      </c>
      <c r="I61" s="36">
        <f>U61</f>
        <v>2000</v>
      </c>
      <c r="J61" s="36">
        <f>V61</f>
        <v>2000</v>
      </c>
      <c r="K61" s="36">
        <f>W61</f>
        <v>2000</v>
      </c>
      <c r="L61" s="36">
        <f>X61</f>
        <v>2000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2000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2000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2000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2000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22000</v>
      </c>
      <c r="AA61" s="46">
        <f>SUM(B61:M61)</f>
        <v>20000</v>
      </c>
      <c r="AB61" s="46">
        <f>SUM(B61:Y61)</f>
        <v>40000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1728</v>
      </c>
      <c r="C66" s="36">
        <f>O66</f>
        <v>1728</v>
      </c>
      <c r="D66" s="36">
        <f>P66</f>
        <v>1728</v>
      </c>
      <c r="E66" s="36">
        <f>Q66</f>
        <v>1728</v>
      </c>
      <c r="F66" s="36">
        <f>R66</f>
        <v>1728</v>
      </c>
      <c r="G66" s="36">
        <f>S66</f>
        <v>0</v>
      </c>
      <c r="H66" s="36">
        <f>T66</f>
        <v>1728</v>
      </c>
      <c r="I66" s="36">
        <f>U66</f>
        <v>1728</v>
      </c>
      <c r="J66" s="36">
        <f>V66</f>
        <v>1728</v>
      </c>
      <c r="K66" s="36">
        <f>W66</f>
        <v>1728</v>
      </c>
      <c r="L66" s="36">
        <f>X66</f>
        <v>1728</v>
      </c>
      <c r="M66" s="36">
        <f>Y66</f>
        <v>0</v>
      </c>
      <c r="N66" s="46">
        <f>SUM(N67:N71)</f>
        <v>1728</v>
      </c>
      <c r="O66" s="46">
        <f>SUM(O67:O71)</f>
        <v>1728</v>
      </c>
      <c r="P66" s="46">
        <f>SUM(P67:P71)</f>
        <v>1728</v>
      </c>
      <c r="Q66" s="46">
        <f>SUM(Q67:Q71)</f>
        <v>1728</v>
      </c>
      <c r="R66" s="46">
        <f>SUM(R67:R71)</f>
        <v>1728</v>
      </c>
      <c r="S66" s="46">
        <f>SUM(S67:S71)</f>
        <v>0</v>
      </c>
      <c r="T66" s="46">
        <f>SUM(T67:T71)</f>
        <v>1728</v>
      </c>
      <c r="U66" s="46">
        <f>SUM(U67:U71)</f>
        <v>1728</v>
      </c>
      <c r="V66" s="46">
        <f>SUM(V67:V71)</f>
        <v>1728</v>
      </c>
      <c r="W66" s="46">
        <f>SUM(W67:W71)</f>
        <v>1728</v>
      </c>
      <c r="X66" s="46">
        <f>SUM(X67:X71)</f>
        <v>1728</v>
      </c>
      <c r="Y66" s="46">
        <f>SUM(Y67:Y71)</f>
        <v>0</v>
      </c>
      <c r="Z66" s="46">
        <f>SUMIF($B$13:$Y$13,"Yes",B66:Y66)</f>
        <v>19008</v>
      </c>
      <c r="AA66" s="46">
        <f>SUM(B66:M66)</f>
        <v>17280</v>
      </c>
      <c r="AB66" s="46">
        <f>SUM(B66:Y66)</f>
        <v>34560</v>
      </c>
    </row>
    <row r="67" spans="1:30" hidden="true" outlineLevel="1">
      <c r="A67" s="181" t="str">
        <f>Calculations!$A$4</f>
        <v>Maize</v>
      </c>
      <c r="B67" s="36">
        <f>N67</f>
        <v>1728</v>
      </c>
      <c r="C67" s="36">
        <f>O67</f>
        <v>1728</v>
      </c>
      <c r="D67" s="36">
        <f>P67</f>
        <v>1728</v>
      </c>
      <c r="E67" s="36">
        <f>Q67</f>
        <v>1728</v>
      </c>
      <c r="F67" s="36">
        <f>R67</f>
        <v>1728</v>
      </c>
      <c r="G67" s="36">
        <f>S67</f>
        <v>0</v>
      </c>
      <c r="H67" s="36">
        <f>T67</f>
        <v>1728</v>
      </c>
      <c r="I67" s="36">
        <f>U67</f>
        <v>1728</v>
      </c>
      <c r="J67" s="36">
        <f>V67</f>
        <v>1728</v>
      </c>
      <c r="K67" s="36">
        <f>W67</f>
        <v>1728</v>
      </c>
      <c r="L67" s="36">
        <f>X67</f>
        <v>1728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1728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1728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1728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1728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1728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1728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1728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1728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1728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1728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19008</v>
      </c>
      <c r="AA67" s="46">
        <f>SUM(B67:M67)</f>
        <v>17280</v>
      </c>
      <c r="AB67" s="46">
        <f>SUM(B67:Y67)</f>
        <v>34560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7604.166666666667</v>
      </c>
      <c r="C74" s="46">
        <f>SUM(Calculations!$Q$14:$Q$16)/12</f>
        <v>7604.166666666667</v>
      </c>
      <c r="D74" s="46">
        <f>SUM(Calculations!$Q$14:$Q$16)/12</f>
        <v>7604.166666666667</v>
      </c>
      <c r="E74" s="46">
        <f>SUM(Calculations!$Q$14:$Q$16)/12</f>
        <v>7604.166666666667</v>
      </c>
      <c r="F74" s="46">
        <f>SUM(Calculations!$Q$14:$Q$16)/12</f>
        <v>7604.166666666667</v>
      </c>
      <c r="G74" s="46">
        <f>SUM(Calculations!$Q$14:$Q$16)/12</f>
        <v>7604.166666666667</v>
      </c>
      <c r="H74" s="46">
        <f>SUM(Calculations!$Q$14:$Q$16)/12</f>
        <v>7604.166666666667</v>
      </c>
      <c r="I74" s="46">
        <f>SUM(Calculations!$Q$14:$Q$16)/12</f>
        <v>7604.166666666667</v>
      </c>
      <c r="J74" s="46">
        <f>SUM(Calculations!$Q$14:$Q$16)/12</f>
        <v>7604.166666666667</v>
      </c>
      <c r="K74" s="46">
        <f>SUM(Calculations!$Q$14:$Q$16)/12</f>
        <v>7604.166666666667</v>
      </c>
      <c r="L74" s="46">
        <f>SUM(Calculations!$Q$14:$Q$16)/12</f>
        <v>7604.166666666667</v>
      </c>
      <c r="M74" s="46">
        <f>SUM(Calculations!$Q$14:$Q$16)/12</f>
        <v>7604.166666666667</v>
      </c>
      <c r="N74" s="46">
        <f>SUM(Calculations!$Q$14:$Q$16)/12</f>
        <v>7604.166666666667</v>
      </c>
      <c r="O74" s="46">
        <f>SUM(Calculations!$Q$14:$Q$16)/12</f>
        <v>7604.166666666667</v>
      </c>
      <c r="P74" s="46">
        <f>SUM(Calculations!$Q$14:$Q$16)/12</f>
        <v>7604.166666666667</v>
      </c>
      <c r="Q74" s="46">
        <f>SUM(Calculations!$Q$14:$Q$16)/12</f>
        <v>7604.166666666667</v>
      </c>
      <c r="R74" s="46">
        <f>SUM(Calculations!$Q$14:$Q$16)/12</f>
        <v>7604.166666666667</v>
      </c>
      <c r="S74" s="46">
        <f>SUM(Calculations!$Q$14:$Q$16)/12</f>
        <v>7604.166666666667</v>
      </c>
      <c r="T74" s="46">
        <f>SUM(Calculations!$Q$14:$Q$16)/12</f>
        <v>7604.166666666667</v>
      </c>
      <c r="U74" s="46">
        <f>SUM(Calculations!$Q$14:$Q$16)/12</f>
        <v>7604.166666666667</v>
      </c>
      <c r="V74" s="46">
        <f>SUM(Calculations!$Q$14:$Q$16)/12</f>
        <v>7604.166666666667</v>
      </c>
      <c r="W74" s="46">
        <f>SUM(Calculations!$Q$14:$Q$16)/12</f>
        <v>7604.166666666667</v>
      </c>
      <c r="X74" s="46">
        <f>SUM(Calculations!$Q$14:$Q$16)/12</f>
        <v>7604.166666666667</v>
      </c>
      <c r="Y74" s="46">
        <f>SUM(Calculations!$Q$14:$Q$16)/12</f>
        <v>7604.166666666667</v>
      </c>
      <c r="Z74" s="46">
        <f>SUMIF($B$13:$Y$13,"Yes",B74:Y74)</f>
        <v>98854.16666666669</v>
      </c>
      <c r="AA74" s="46">
        <f>SUM(B74:M74)</f>
        <v>91250.00000000001</v>
      </c>
      <c r="AB74" s="46">
        <f>SUM(B74:Y74)</f>
        <v>182500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5416.666666666667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13500</v>
      </c>
      <c r="C79" s="46">
        <f>Inputs!$B$31</f>
        <v>13500</v>
      </c>
      <c r="D79" s="46">
        <f>Inputs!$B$31</f>
        <v>13500</v>
      </c>
      <c r="E79" s="46">
        <f>Inputs!$B$31</f>
        <v>13500</v>
      </c>
      <c r="F79" s="46">
        <f>Inputs!$B$31</f>
        <v>13500</v>
      </c>
      <c r="G79" s="46">
        <f>Inputs!$B$31</f>
        <v>13500</v>
      </c>
      <c r="H79" s="46">
        <f>Inputs!$B$31</f>
        <v>13500</v>
      </c>
      <c r="I79" s="46">
        <f>Inputs!$B$31</f>
        <v>13500</v>
      </c>
      <c r="J79" s="46">
        <f>Inputs!$B$31</f>
        <v>13500</v>
      </c>
      <c r="K79" s="46">
        <f>Inputs!$B$31</f>
        <v>13500</v>
      </c>
      <c r="L79" s="46">
        <f>Inputs!$B$31</f>
        <v>13500</v>
      </c>
      <c r="M79" s="46">
        <f>Inputs!$B$31</f>
        <v>13500</v>
      </c>
      <c r="N79" s="46">
        <f>Inputs!$B$31</f>
        <v>13500</v>
      </c>
      <c r="O79" s="46">
        <f>Inputs!$B$31</f>
        <v>13500</v>
      </c>
      <c r="P79" s="46">
        <f>Inputs!$B$31</f>
        <v>13500</v>
      </c>
      <c r="Q79" s="46">
        <f>Inputs!$B$31</f>
        <v>13500</v>
      </c>
      <c r="R79" s="46">
        <f>Inputs!$B$31</f>
        <v>13500</v>
      </c>
      <c r="S79" s="46">
        <f>Inputs!$B$31</f>
        <v>13500</v>
      </c>
      <c r="T79" s="46">
        <f>Inputs!$B$31</f>
        <v>13500</v>
      </c>
      <c r="U79" s="46">
        <f>Inputs!$B$31</f>
        <v>13500</v>
      </c>
      <c r="V79" s="46">
        <f>Inputs!$B$31</f>
        <v>13500</v>
      </c>
      <c r="W79" s="46">
        <f>Inputs!$B$31</f>
        <v>13500</v>
      </c>
      <c r="X79" s="46">
        <f>Inputs!$B$31</f>
        <v>13500</v>
      </c>
      <c r="Y79" s="46">
        <f>Inputs!$B$31</f>
        <v>13500</v>
      </c>
      <c r="Z79" s="46">
        <f>SUMIF($B$13:$Y$13,"Yes",B79:Y79)</f>
        <v>175500</v>
      </c>
      <c r="AA79" s="46">
        <f>SUM(B79:M79)</f>
        <v>162000</v>
      </c>
      <c r="AB79" s="46">
        <f>SUM(B79:Y79)</f>
        <v>324000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32165.41558051942</v>
      </c>
      <c r="C81" s="46">
        <f>(SUM($AA$18:$AA$29)-SUM($AA$36,$AA$42,$AA$48,$AA$54,$AA$60,$AA$66,$AA$72:$AA$79))*Parameters!$B$37/12</f>
        <v>32165.41558051942</v>
      </c>
      <c r="D81" s="46">
        <f>(SUM($AA$18:$AA$29)-SUM($AA$36,$AA$42,$AA$48,$AA$54,$AA$60,$AA$66,$AA$72:$AA$79))*Parameters!$B$37/12</f>
        <v>32165.41558051942</v>
      </c>
      <c r="E81" s="46">
        <f>(SUM($AA$18:$AA$29)-SUM($AA$36,$AA$42,$AA$48,$AA$54,$AA$60,$AA$66,$AA$72:$AA$79))*Parameters!$B$37/12</f>
        <v>32165.41558051942</v>
      </c>
      <c r="F81" s="46">
        <f>(SUM($AA$18:$AA$29)-SUM($AA$36,$AA$42,$AA$48,$AA$54,$AA$60,$AA$66,$AA$72:$AA$79))*Parameters!$B$37/12</f>
        <v>32165.41558051942</v>
      </c>
      <c r="G81" s="46">
        <f>(SUM($AA$18:$AA$29)-SUM($AA$36,$AA$42,$AA$48,$AA$54,$AA$60,$AA$66,$AA$72:$AA$79))*Parameters!$B$37/12</f>
        <v>32165.41558051942</v>
      </c>
      <c r="H81" s="46">
        <f>(SUM($AA$18:$AA$29)-SUM($AA$36,$AA$42,$AA$48,$AA$54,$AA$60,$AA$66,$AA$72:$AA$79))*Parameters!$B$37/12</f>
        <v>32165.41558051942</v>
      </c>
      <c r="I81" s="46">
        <f>(SUM($AA$18:$AA$29)-SUM($AA$36,$AA$42,$AA$48,$AA$54,$AA$60,$AA$66,$AA$72:$AA$79))*Parameters!$B$37/12</f>
        <v>32165.41558051942</v>
      </c>
      <c r="J81" s="46">
        <f>(SUM($AA$18:$AA$29)-SUM($AA$36,$AA$42,$AA$48,$AA$54,$AA$60,$AA$66,$AA$72:$AA$79))*Parameters!$B$37/12</f>
        <v>32165.41558051942</v>
      </c>
      <c r="K81" s="46">
        <f>(SUM($AA$18:$AA$29)-SUM($AA$36,$AA$42,$AA$48,$AA$54,$AA$60,$AA$66,$AA$72:$AA$79))*Parameters!$B$37/12</f>
        <v>32165.41558051942</v>
      </c>
      <c r="L81" s="46">
        <f>(SUM($AA$18:$AA$29)-SUM($AA$36,$AA$42,$AA$48,$AA$54,$AA$60,$AA$66,$AA$72:$AA$79))*Parameters!$B$37/12</f>
        <v>32165.41558051942</v>
      </c>
      <c r="M81" s="46">
        <f>(SUM($AA$18:$AA$29)-SUM($AA$36,$AA$42,$AA$48,$AA$54,$AA$60,$AA$66,$AA$72:$AA$79))*Parameters!$B$37/12</f>
        <v>32165.41558051942</v>
      </c>
      <c r="N81" s="46">
        <f>(SUM($AA$18:$AA$29)-SUM($AA$36,$AA$42,$AA$48,$AA$54,$AA$60,$AA$66,$AA$72:$AA$79))*Parameters!$B$37/12</f>
        <v>32165.41558051942</v>
      </c>
      <c r="O81" s="46">
        <f>(SUM($AA$18:$AA$29)-SUM($AA$36,$AA$42,$AA$48,$AA$54,$AA$60,$AA$66,$AA$72:$AA$79))*Parameters!$B$37/12</f>
        <v>32165.41558051942</v>
      </c>
      <c r="P81" s="46">
        <f>(SUM($AA$18:$AA$29)-SUM($AA$36,$AA$42,$AA$48,$AA$54,$AA$60,$AA$66,$AA$72:$AA$79))*Parameters!$B$37/12</f>
        <v>32165.41558051942</v>
      </c>
      <c r="Q81" s="46">
        <f>(SUM($AA$18:$AA$29)-SUM($AA$36,$AA$42,$AA$48,$AA$54,$AA$60,$AA$66,$AA$72:$AA$79))*Parameters!$B$37/12</f>
        <v>32165.41558051942</v>
      </c>
      <c r="R81" s="46">
        <f>(SUM($AA$18:$AA$29)-SUM($AA$36,$AA$42,$AA$48,$AA$54,$AA$60,$AA$66,$AA$72:$AA$79))*Parameters!$B$37/12</f>
        <v>32165.41558051942</v>
      </c>
      <c r="S81" s="46">
        <f>(SUM($AA$18:$AA$29)-SUM($AA$36,$AA$42,$AA$48,$AA$54,$AA$60,$AA$66,$AA$72:$AA$79))*Parameters!$B$37/12</f>
        <v>32165.41558051942</v>
      </c>
      <c r="T81" s="46">
        <f>(SUM($AA$18:$AA$29)-SUM($AA$36,$AA$42,$AA$48,$AA$54,$AA$60,$AA$66,$AA$72:$AA$79))*Parameters!$B$37/12</f>
        <v>32165.41558051942</v>
      </c>
      <c r="U81" s="46">
        <f>(SUM($AA$18:$AA$29)-SUM($AA$36,$AA$42,$AA$48,$AA$54,$AA$60,$AA$66,$AA$72:$AA$79))*Parameters!$B$37/12</f>
        <v>32165.41558051942</v>
      </c>
      <c r="V81" s="46">
        <f>(SUM($AA$18:$AA$29)-SUM($AA$36,$AA$42,$AA$48,$AA$54,$AA$60,$AA$66,$AA$72:$AA$79))*Parameters!$B$37/12</f>
        <v>32165.41558051942</v>
      </c>
      <c r="W81" s="46">
        <f>(SUM($AA$18:$AA$29)-SUM($AA$36,$AA$42,$AA$48,$AA$54,$AA$60,$AA$66,$AA$72:$AA$79))*Parameters!$B$37/12</f>
        <v>32165.41558051942</v>
      </c>
      <c r="X81" s="46">
        <f>(SUM($AA$18:$AA$29)-SUM($AA$36,$AA$42,$AA$48,$AA$54,$AA$60,$AA$66,$AA$72:$AA$79))*Parameters!$B$37/12</f>
        <v>32165.41558051942</v>
      </c>
      <c r="Y81" s="46">
        <f>(SUM($AA$18:$AA$29)-SUM($AA$36,$AA$42,$AA$48,$AA$54,$AA$60,$AA$66,$AA$72:$AA$79))*Parameters!$B$37/12</f>
        <v>32165.41558051942</v>
      </c>
      <c r="Z81" s="46">
        <f>SUMIF($B$13:$Y$13,"Yes",B81:Y81)</f>
        <v>418150.4025467525</v>
      </c>
      <c r="AA81" s="46">
        <f>SUM(B81:M81)</f>
        <v>385984.9869662331</v>
      </c>
      <c r="AB81" s="46">
        <f>SUM(B81:Y81)</f>
        <v>771969.9739324665</v>
      </c>
    </row>
    <row r="82" spans="1:30">
      <c r="A82" s="16" t="s">
        <v>52</v>
      </c>
      <c r="B82" s="46">
        <f>SUM(B83:B87)</f>
        <v>2492.967741935484</v>
      </c>
      <c r="C82" s="46">
        <f>SUM(C83:C87)</f>
        <v>2492.967741935484</v>
      </c>
      <c r="D82" s="46">
        <f>SUM(D83:D87)</f>
        <v>2492.967741935484</v>
      </c>
      <c r="E82" s="46">
        <f>SUM(E83:E87)</f>
        <v>2492.967741935484</v>
      </c>
      <c r="F82" s="46">
        <f>SUM(F83:F87)</f>
        <v>2492.967741935484</v>
      </c>
      <c r="G82" s="46">
        <f>SUM(G83:G87)</f>
        <v>2492.967741935484</v>
      </c>
      <c r="H82" s="46">
        <f>SUM(H83:H87)</f>
        <v>2492.967741935484</v>
      </c>
      <c r="I82" s="46">
        <f>SUM(I83:I87)</f>
        <v>2492.967741935484</v>
      </c>
      <c r="J82" s="46">
        <f>SUM(J83:J87)</f>
        <v>2492.967741935484</v>
      </c>
      <c r="K82" s="46">
        <f>SUM(K83:K87)</f>
        <v>2492.967741935484</v>
      </c>
      <c r="L82" s="46">
        <f>SUM(L83:L87)</f>
        <v>2492.967741935484</v>
      </c>
      <c r="M82" s="46">
        <f>SUM(M83:M87)</f>
        <v>2492.967741935484</v>
      </c>
      <c r="N82" s="46">
        <f>SUM(N83:N87)</f>
        <v>2492.967741935484</v>
      </c>
      <c r="O82" s="46">
        <f>SUM(O83:O87)</f>
        <v>2492.967741935484</v>
      </c>
      <c r="P82" s="46">
        <f>SUM(P83:P87)</f>
        <v>2492.967741935484</v>
      </c>
      <c r="Q82" s="46">
        <f>SUM(Q83:Q87)</f>
        <v>2492.967741935484</v>
      </c>
      <c r="R82" s="46">
        <f>SUM(R83:R87)</f>
        <v>2492.967741935484</v>
      </c>
      <c r="S82" s="46">
        <f>SUM(S83:S87)</f>
        <v>2492.967741935484</v>
      </c>
      <c r="T82" s="46">
        <f>SUM(T83:T87)</f>
        <v>2492.967741935484</v>
      </c>
      <c r="U82" s="46">
        <f>SUM(U83:U87)</f>
        <v>2492.967741935484</v>
      </c>
      <c r="V82" s="46">
        <f>SUM(V83:V87)</f>
        <v>2492.967741935484</v>
      </c>
      <c r="W82" s="46">
        <f>SUM(W83:W87)</f>
        <v>2492.967741935484</v>
      </c>
      <c r="X82" s="46">
        <f>SUM(X83:X87)</f>
        <v>1666.709677419356</v>
      </c>
      <c r="Y82" s="46">
        <f>SUM(Y83:Y87)</f>
        <v>0</v>
      </c>
      <c r="Z82" s="46">
        <f>SUMIF($B$13:$Y$13,"Yes",B82:Y82)</f>
        <v>32408.5806451613</v>
      </c>
      <c r="AA82" s="46">
        <f>SUM(B82:M82)</f>
        <v>29915.61290322581</v>
      </c>
      <c r="AB82" s="46">
        <f>SUM(B82:Y82)</f>
        <v>56512.00000000001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2492.967741935484</v>
      </c>
      <c r="C83" s="46">
        <f>IF(Calculations!$E23&gt;COUNT(Output!$B$35:C$35),Calculations!$B23,IF(Calculations!$E23=COUNT(Output!$B$35:C$35),Inputs!$B56-Calculations!$C23*(Calculations!$E23-1)+Calculations!$D23,0))</f>
        <v>2492.967741935484</v>
      </c>
      <c r="D83" s="46">
        <f>IF(Calculations!$E23&gt;COUNT(Output!$B$35:D$35),Calculations!$B23,IF(Calculations!$E23=COUNT(Output!$B$35:D$35),Inputs!$B56-Calculations!$C23*(Calculations!$E23-1)+Calculations!$D23,0))</f>
        <v>2492.967741935484</v>
      </c>
      <c r="E83" s="46">
        <f>IF(Calculations!$E23&gt;COUNT(Output!$B$35:E$35),Calculations!$B23,IF(Calculations!$E23=COUNT(Output!$B$35:E$35),Inputs!$B56-Calculations!$C23*(Calculations!$E23-1)+Calculations!$D23,0))</f>
        <v>2492.967741935484</v>
      </c>
      <c r="F83" s="46">
        <f>IF(Calculations!$E23&gt;COUNT(Output!$B$35:F$35),Calculations!$B23,IF(Calculations!$E23=COUNT(Output!$B$35:F$35),Inputs!$B56-Calculations!$C23*(Calculations!$E23-1)+Calculations!$D23,0))</f>
        <v>2492.967741935484</v>
      </c>
      <c r="G83" s="46">
        <f>IF(Calculations!$E23&gt;COUNT(Output!$B$35:G$35),Calculations!$B23,IF(Calculations!$E23=COUNT(Output!$B$35:G$35),Inputs!$B56-Calculations!$C23*(Calculations!$E23-1)+Calculations!$D23,0))</f>
        <v>2492.967741935484</v>
      </c>
      <c r="H83" s="46">
        <f>IF(Calculations!$E23&gt;COUNT(Output!$B$35:H$35),Calculations!$B23,IF(Calculations!$E23=COUNT(Output!$B$35:H$35),Inputs!$B56-Calculations!$C23*(Calculations!$E23-1)+Calculations!$D23,0))</f>
        <v>2492.967741935484</v>
      </c>
      <c r="I83" s="46">
        <f>IF(Calculations!$E23&gt;COUNT(Output!$B$35:I$35),Calculations!$B23,IF(Calculations!$E23=COUNT(Output!$B$35:I$35),Inputs!$B56-Calculations!$C23*(Calculations!$E23-1)+Calculations!$D23,0))</f>
        <v>2492.967741935484</v>
      </c>
      <c r="J83" s="46">
        <f>IF(Calculations!$E23&gt;COUNT(Output!$B$35:J$35),Calculations!$B23,IF(Calculations!$E23=COUNT(Output!$B$35:J$35),Inputs!$B56-Calculations!$C23*(Calculations!$E23-1)+Calculations!$D23,0))</f>
        <v>2492.967741935484</v>
      </c>
      <c r="K83" s="46">
        <f>IF(Calculations!$E23&gt;COUNT(Output!$B$35:K$35),Calculations!$B23,IF(Calculations!$E23=COUNT(Output!$B$35:K$35),Inputs!$B56-Calculations!$C23*(Calculations!$E23-1)+Calculations!$D23,0))</f>
        <v>2492.967741935484</v>
      </c>
      <c r="L83" s="46">
        <f>IF(Calculations!$E23&gt;COUNT(Output!$B$35:L$35),Calculations!$B23,IF(Calculations!$E23=COUNT(Output!$B$35:L$35),Inputs!$B56-Calculations!$C23*(Calculations!$E23-1)+Calculations!$D23,0))</f>
        <v>2492.967741935484</v>
      </c>
      <c r="M83" s="46">
        <f>IF(Calculations!$E23&gt;COUNT(Output!$B$35:M$35),Calculations!$B23,IF(Calculations!$E23=COUNT(Output!$B$35:M$35),Inputs!$B56-Calculations!$C23*(Calculations!$E23-1)+Calculations!$D23,0))</f>
        <v>2492.967741935484</v>
      </c>
      <c r="N83" s="46">
        <f>IF(Calculations!$E23&gt;COUNT(Output!$B$35:N$35),Calculations!$B23,IF(Calculations!$E23=COUNT(Output!$B$35:N$35),Inputs!$B56-Calculations!$C23*(Calculations!$E23-1)+Calculations!$D23,0))</f>
        <v>2492.967741935484</v>
      </c>
      <c r="O83" s="46">
        <f>IF(Calculations!$E23&gt;COUNT(Output!$B$35:O$35),Calculations!$B23,IF(Calculations!$E23=COUNT(Output!$B$35:O$35),Inputs!$B56-Calculations!$C23*(Calculations!$E23-1)+Calculations!$D23,0))</f>
        <v>2492.967741935484</v>
      </c>
      <c r="P83" s="46">
        <f>IF(Calculations!$E23&gt;COUNT(Output!$B$35:P$35),Calculations!$B23,IF(Calculations!$E23=COUNT(Output!$B$35:P$35),Inputs!$B56-Calculations!$C23*(Calculations!$E23-1)+Calculations!$D23,0))</f>
        <v>2492.967741935484</v>
      </c>
      <c r="Q83" s="46">
        <f>IF(Calculations!$E23&gt;COUNT(Output!$B$35:Q$35),Calculations!$B23,IF(Calculations!$E23=COUNT(Output!$B$35:Q$35),Inputs!$B56-Calculations!$C23*(Calculations!$E23-1)+Calculations!$D23,0))</f>
        <v>2492.967741935484</v>
      </c>
      <c r="R83" s="46">
        <f>IF(Calculations!$E23&gt;COUNT(Output!$B$35:R$35),Calculations!$B23,IF(Calculations!$E23=COUNT(Output!$B$35:R$35),Inputs!$B56-Calculations!$C23*(Calculations!$E23-1)+Calculations!$D23,0))</f>
        <v>2492.967741935484</v>
      </c>
      <c r="S83" s="46">
        <f>IF(Calculations!$E23&gt;COUNT(Output!$B$35:S$35),Calculations!$B23,IF(Calculations!$E23=COUNT(Output!$B$35:S$35),Inputs!$B56-Calculations!$C23*(Calculations!$E23-1)+Calculations!$D23,0))</f>
        <v>2492.967741935484</v>
      </c>
      <c r="T83" s="46">
        <f>IF(Calculations!$E23&gt;COUNT(Output!$B$35:T$35),Calculations!$B23,IF(Calculations!$E23=COUNT(Output!$B$35:T$35),Inputs!$B56-Calculations!$C23*(Calculations!$E23-1)+Calculations!$D23,0))</f>
        <v>2492.967741935484</v>
      </c>
      <c r="U83" s="46">
        <f>IF(Calculations!$E23&gt;COUNT(Output!$B$35:U$35),Calculations!$B23,IF(Calculations!$E23=COUNT(Output!$B$35:U$35),Inputs!$B56-Calculations!$C23*(Calculations!$E23-1)+Calculations!$D23,0))</f>
        <v>2492.967741935484</v>
      </c>
      <c r="V83" s="46">
        <f>IF(Calculations!$E23&gt;COUNT(Output!$B$35:V$35),Calculations!$B23,IF(Calculations!$E23=COUNT(Output!$B$35:V$35),Inputs!$B56-Calculations!$C23*(Calculations!$E23-1)+Calculations!$D23,0))</f>
        <v>2492.967741935484</v>
      </c>
      <c r="W83" s="46">
        <f>IF(Calculations!$E23&gt;COUNT(Output!$B$35:W$35),Calculations!$B23,IF(Calculations!$E23=COUNT(Output!$B$35:W$35),Inputs!$B56-Calculations!$C23*(Calculations!$E23-1)+Calculations!$D23,0))</f>
        <v>2492.967741935484</v>
      </c>
      <c r="X83" s="46">
        <f>IF(Calculations!$E23&gt;COUNT(Output!$B$35:X$35),Calculations!$B23,IF(Calculations!$E23=COUNT(Output!$B$35:X$35),Inputs!$B56-Calculations!$C23*(Calculations!$E23-1)+Calculations!$D23,0))</f>
        <v>1666.709677419356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32408.5806451613</v>
      </c>
      <c r="AA83" s="46">
        <f>SUM(B83:M83)</f>
        <v>29915.61290322581</v>
      </c>
      <c r="AB83" s="46">
        <f>SUM(B83:Y83)</f>
        <v>56512.00000000001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67013.21665578824</v>
      </c>
      <c r="C88" s="19">
        <f>SUM(C72:C82,C66,C60,C54,C48,C42,C36)</f>
        <v>62407.21665578824</v>
      </c>
      <c r="D88" s="19">
        <f>SUM(D72:D82,D66,D60,D54,D48,D42,D36)</f>
        <v>63007.21665578824</v>
      </c>
      <c r="E88" s="19">
        <f>SUM(E72:E82,E66,E60,E54,E48,E42,E36)</f>
        <v>62407.21665578824</v>
      </c>
      <c r="F88" s="19">
        <f>SUM(F72:F82,F66,F60,F54,F48,F42,F36)</f>
        <v>62407.21665578824</v>
      </c>
      <c r="G88" s="19">
        <f>SUM(G72:G82,G66,G60,G54,G48,G42,G36)</f>
        <v>58679.21665578824</v>
      </c>
      <c r="H88" s="19">
        <f>SUM(H72:H82,H66,H60,H54,H48,H42,H36)</f>
        <v>67013.21665578824</v>
      </c>
      <c r="I88" s="19">
        <f>SUM(I72:I82,I66,I60,I54,I48,I42,I36)</f>
        <v>62407.21665578824</v>
      </c>
      <c r="J88" s="19">
        <f>SUM(J72:J82,J66,J60,J54,J48,J42,J36)</f>
        <v>63007.21665578824</v>
      </c>
      <c r="K88" s="19">
        <f>SUM(K72:K82,K66,K60,K54,K48,K42,K36)</f>
        <v>62407.21665578824</v>
      </c>
      <c r="L88" s="19">
        <f>SUM(L72:L82,L66,L60,L54,L48,L42,L36)</f>
        <v>62407.21665578824</v>
      </c>
      <c r="M88" s="19">
        <f>SUM(M72:M82,M66,M60,M54,M48,M42,M36)</f>
        <v>58679.21665578824</v>
      </c>
      <c r="N88" s="19">
        <f>SUM(N72:N82,N66,N60,N54,N48,N42,N36)</f>
        <v>67013.21665578824</v>
      </c>
      <c r="O88" s="19">
        <f>SUM(O72:O82,O66,O60,O54,O48,O42,O36)</f>
        <v>62407.21665578824</v>
      </c>
      <c r="P88" s="19">
        <f>SUM(P72:P82,P66,P60,P54,P48,P42,P36)</f>
        <v>63007.21665578824</v>
      </c>
      <c r="Q88" s="19">
        <f>SUM(Q72:Q82,Q66,Q60,Q54,Q48,Q42,Q36)</f>
        <v>62407.21665578824</v>
      </c>
      <c r="R88" s="19">
        <f>SUM(R72:R82,R66,R60,R54,R48,R42,R36)</f>
        <v>62407.21665578824</v>
      </c>
      <c r="S88" s="19">
        <f>SUM(S72:S82,S66,S60,S54,S48,S42,S36)</f>
        <v>58679.21665578824</v>
      </c>
      <c r="T88" s="19">
        <f>SUM(T72:T82,T66,T60,T54,T48,T42,T36)</f>
        <v>67013.21665578824</v>
      </c>
      <c r="U88" s="19">
        <f>SUM(U72:U82,U66,U60,U54,U48,U42,U36)</f>
        <v>62407.21665578824</v>
      </c>
      <c r="V88" s="19">
        <f>SUM(V72:V82,V66,V60,V54,V48,V42,V36)</f>
        <v>63007.21665578824</v>
      </c>
      <c r="W88" s="19">
        <f>SUM(W72:W82,W66,W60,W54,W48,W42,W36)</f>
        <v>62407.21665578824</v>
      </c>
      <c r="X88" s="19">
        <f>SUM(X72:X82,X66,X60,X54,X48,X42,X36)</f>
        <v>61580.95859127212</v>
      </c>
      <c r="Y88" s="19">
        <f>SUM(Y72:Y82,Y66,Y60,Y54,Y48,Y42,Y36)</f>
        <v>56186.24891385276</v>
      </c>
      <c r="Z88" s="19">
        <f>SUMIF($B$13:$Y$13,"Yes",B88:Y88)</f>
        <v>818855.8165252472</v>
      </c>
      <c r="AA88" s="19">
        <f>SUM(B88:M88)</f>
        <v>751842.5998694589</v>
      </c>
      <c r="AB88" s="19">
        <f>SUM(B88:Y88)</f>
        <v>1500365.973932466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23500</v>
      </c>
    </row>
    <row r="95" spans="1:30">
      <c r="A95" t="s">
        <v>61</v>
      </c>
      <c r="B95" s="36">
        <f>Inputs!B47</f>
        <v>68500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400000</v>
      </c>
    </row>
    <row r="98" spans="1:30">
      <c r="A98" t="s">
        <v>64</v>
      </c>
      <c r="B98" s="36">
        <f>IF(Inputs!B44="Yes",Inputs!B45,0)</f>
        <v>357800</v>
      </c>
    </row>
    <row r="99" spans="1:30">
      <c r="A99" t="s">
        <v>65</v>
      </c>
      <c r="B99" s="36">
        <f>Inputs!B46</f>
        <v>145600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1995400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31212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231212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40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40500</v>
      </c>
    </row>
    <row r="31" spans="1:48">
      <c r="A31" s="5" t="s">
        <v>116</v>
      </c>
      <c r="B31" s="158">
        <v>13500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357800</v>
      </c>
    </row>
    <row r="46" spans="1:48" customHeight="1" ht="30">
      <c r="A46" s="57" t="s">
        <v>130</v>
      </c>
      <c r="B46" s="161">
        <v>145600</v>
      </c>
    </row>
    <row r="47" spans="1:48" customHeight="1" ht="30">
      <c r="A47" s="57" t="s">
        <v>131</v>
      </c>
      <c r="B47" s="161">
        <v>68500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23500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60000</v>
      </c>
      <c r="B56" s="159">
        <v>31212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100000</v>
      </c>
      <c r="B57" s="157">
        <v>0</v>
      </c>
      <c r="C57" s="164" t="s">
        <v>145</v>
      </c>
      <c r="D57" s="165" t="s">
        <v>146</v>
      </c>
      <c r="E57" s="165" t="s">
        <v>92</v>
      </c>
      <c r="F57" s="165" t="s">
        <v>144</v>
      </c>
    </row>
    <row r="58" spans="1:48">
      <c r="A58" s="157">
        <v>85000</v>
      </c>
      <c r="B58" s="157">
        <v>0</v>
      </c>
      <c r="C58" s="164" t="s">
        <v>147</v>
      </c>
      <c r="D58" s="165" t="s">
        <v>143</v>
      </c>
      <c r="E58" s="165" t="s">
        <v>92</v>
      </c>
      <c r="F58" s="165" t="s">
        <v>144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149</v>
      </c>
      <c r="C65" s="10" t="s">
        <v>150</v>
      </c>
    </row>
    <row r="66" spans="1:48">
      <c r="A66" s="142" t="s">
        <v>151</v>
      </c>
      <c r="B66" s="159">
        <v>46366</v>
      </c>
      <c r="C66" s="163">
        <v>48893</v>
      </c>
      <c r="D66" s="49">
        <f>INDEX(Parameters!$D$79:$D$90,MATCH(Inputs!A66,Parameters!$C$79:$C$90,0))</f>
        <v>12</v>
      </c>
    </row>
    <row r="67" spans="1:48">
      <c r="A67" s="143" t="s">
        <v>152</v>
      </c>
      <c r="B67" s="157">
        <v>76629</v>
      </c>
      <c r="C67" s="165">
        <v>73762</v>
      </c>
      <c r="D67" s="49">
        <f>INDEX(Parameters!$D$79:$D$90,MATCH(Inputs!A67,Parameters!$C$79:$C$90,0))</f>
        <v>11</v>
      </c>
    </row>
    <row r="68" spans="1:48">
      <c r="A68" s="143" t="s">
        <v>153</v>
      </c>
      <c r="B68" s="157">
        <v>32114</v>
      </c>
      <c r="C68" s="165">
        <v>32097</v>
      </c>
      <c r="D68" s="49">
        <f>INDEX(Parameters!$D$79:$D$90,MATCH(Inputs!A68,Parameters!$C$79:$C$90,0))</f>
        <v>10</v>
      </c>
    </row>
    <row r="69" spans="1:48">
      <c r="A69" s="143" t="s">
        <v>154</v>
      </c>
      <c r="B69" s="157">
        <v>36357</v>
      </c>
      <c r="C69" s="165">
        <v>50322</v>
      </c>
      <c r="D69" s="49">
        <f>INDEX(Parameters!$D$79:$D$90,MATCH(Inputs!A69,Parameters!$C$79:$C$90,0))</f>
        <v>9</v>
      </c>
    </row>
    <row r="70" spans="1:48">
      <c r="A70" s="143" t="s">
        <v>155</v>
      </c>
      <c r="B70" s="157">
        <v>67670</v>
      </c>
      <c r="C70" s="165">
        <v>67835</v>
      </c>
      <c r="D70" s="49">
        <f>INDEX(Parameters!$D$79:$D$90,MATCH(Inputs!A70,Parameters!$C$79:$C$90,0))</f>
        <v>8</v>
      </c>
    </row>
    <row r="71" spans="1:48">
      <c r="A71" s="144" t="s">
        <v>156</v>
      </c>
      <c r="B71" s="158">
        <v>62950</v>
      </c>
      <c r="C71" s="167">
        <v>48875</v>
      </c>
      <c r="D71" s="49">
        <f>INDEX(Parameters!$D$79:$D$90,MATCH(Inputs!A71,Parameters!$C$79:$C$90,0))</f>
        <v>7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18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200000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>
        <v>1</v>
      </c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1899.234772320367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75779.46741558264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10000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14400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739125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60000</v>
      </c>
      <c r="B23" s="75">
        <f>SUM(C23:D23)</f>
        <v>2492.967741935484</v>
      </c>
      <c r="C23" s="75">
        <f>IF(Inputs!B56&gt;0,(Inputs!A56-Inputs!B56)/(DATE(YEAR(Inputs!$B$76),MONTH(Inputs!$B$76),DAY(Inputs!$B$76))-DATE(YEAR(Inputs!C56),MONTH(Inputs!C56),DAY(Inputs!C56)))*30,0)</f>
        <v>1392.967741935484</v>
      </c>
      <c r="D23" s="75">
        <f>IF(Inputs!B56&gt;0,Inputs!A56*0.22/12,0)</f>
        <v>1100</v>
      </c>
      <c r="E23" s="75">
        <f>IFERROR(ROUNDUP(Inputs!B56/C23,0),0)</f>
        <v>23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85000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43143</v>
      </c>
      <c r="C33" s="27">
        <f>IF(B33&lt;&gt;"",IF(COUNT($A$33:A33)&lt;=$G$39,0,$G$41)+IF(COUNT($A$33:A33)&lt;=$G$40,0,$G$42),0)</f>
        <v>3333.333333333333</v>
      </c>
      <c r="D33" s="170">
        <f>IFERROR(DATE(YEAR(B33),MONTH(B33),1)," ")</f>
        <v>43132</v>
      </c>
      <c r="F33" t="s">
        <v>162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43171</v>
      </c>
      <c r="C34" s="27">
        <f>IF(B34&lt;&gt;"",IF(COUNT($A$33:A34)&lt;=$G$39,0,$G$41)+IF(COUNT($A$33:A34)&lt;=$G$40,0,$G$42),0)</f>
        <v>21515.15151515151</v>
      </c>
      <c r="D34" s="170">
        <f>IFERROR(DATE(YEAR(B34),MONTH(B34),1)," ")</f>
        <v>43160</v>
      </c>
      <c r="F34" t="s">
        <v>163</v>
      </c>
      <c r="G34" s="128">
        <f>IF(Inputs!B80="","",DATE(YEAR(Inputs!B80),MONTH(Inputs!B80),DAY(Inputs!B80)))</f>
        <v>43143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43202</v>
      </c>
      <c r="C35" s="27">
        <f>IF(B35&lt;&gt;"",IF(COUNT($A$33:A35)&lt;=$G$39,0,$G$41)+IF(COUNT($A$33:A35)&lt;=$G$40,0,$G$42),0)</f>
        <v>21515.15151515151</v>
      </c>
      <c r="D35" s="170">
        <f>IFERROR(DATE(YEAR(B35),MONTH(B35),1)," ")</f>
        <v>43191</v>
      </c>
      <c r="F35" t="s">
        <v>165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43232</v>
      </c>
      <c r="C36" s="27">
        <f>IF(B36&lt;&gt;"",IF(COUNT($A$33:A36)&lt;=$G$39,0,$G$41)+IF(COUNT($A$33:A36)&lt;=$G$40,0,$G$42),0)</f>
        <v>21515.15151515151</v>
      </c>
      <c r="D36" s="170">
        <f>IFERROR(DATE(YEAR(B36),MONTH(B36),1)," ")</f>
        <v>43221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43263</v>
      </c>
      <c r="C37" s="27">
        <f>IF(B37&lt;&gt;"",IF(COUNT($A$33:A37)&lt;=$G$39,0,$G$41)+IF(COUNT($A$33:A37)&lt;=$G$40,0,$G$42),0)</f>
        <v>21515.15151515151</v>
      </c>
      <c r="D37" s="170">
        <f>IFERROR(DATE(YEAR(B37),MONTH(B37),1)," ")</f>
        <v>43252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43293</v>
      </c>
      <c r="C38" s="27">
        <f>IF(B38&lt;&gt;"",IF(COUNT($A$33:A38)&lt;=$G$39,0,$G$41)+IF(COUNT($A$33:A38)&lt;=$G$40,0,$G$42),0)</f>
        <v>21515.15151515151</v>
      </c>
      <c r="D38" s="170">
        <f>IFERROR(DATE(YEAR(B38),MONTH(B38),1)," ")</f>
        <v>43282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43324</v>
      </c>
      <c r="C39" s="27">
        <f>IF(B39&lt;&gt;"",IF(COUNT($A$33:A39)&lt;=$G$39,0,$G$41)+IF(COUNT($A$33:A39)&lt;=$G$40,0,$G$42),0)</f>
        <v>21515.15151515151</v>
      </c>
      <c r="D39" s="170">
        <f>IFERROR(DATE(YEAR(B39),MONTH(B39),1)," ")</f>
        <v>43313</v>
      </c>
      <c r="F39" t="s">
        <v>171</v>
      </c>
      <c r="G39" s="27">
        <f>IF(Inputs!B86="",0,Inputs!B86)</f>
        <v>1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43355</v>
      </c>
      <c r="C40" s="27">
        <f>IF(B40&lt;&gt;"",IF(COUNT($A$33:A40)&lt;=$G$39,0,$G$41)+IF(COUNT($A$33:A40)&lt;=$G$40,0,$G$42),0)</f>
        <v>21515.15151515151</v>
      </c>
      <c r="D40" s="170">
        <f>IFERROR(DATE(YEAR(B40),MONTH(B40),1)," ")</f>
        <v>43344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43385</v>
      </c>
      <c r="C41" s="27">
        <f>IF(B41&lt;&gt;"",IF(COUNT($A$33:A41)&lt;=$G$39,0,$G$41)+IF(COUNT($A$33:A41)&lt;=$G$40,0,$G$42),0)</f>
        <v>21515.15151515151</v>
      </c>
      <c r="D41" s="170">
        <f>IFERROR(DATE(YEAR(B41),MONTH(B41),1)," ")</f>
        <v>43374</v>
      </c>
      <c r="F41" t="s">
        <v>229</v>
      </c>
      <c r="G41" s="73">
        <f>IFERROR(G35/(G38-G39),"")</f>
        <v>18181.81818181818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43416</v>
      </c>
      <c r="C42" s="27">
        <f>IF(B42&lt;&gt;"",IF(COUNT($A$33:A42)&lt;=$G$39,0,$G$41)+IF(COUNT($A$33:A42)&lt;=$G$40,0,$G$42),0)</f>
        <v>21515.15151515151</v>
      </c>
      <c r="D42" s="170">
        <f>IFERROR(DATE(YEAR(B42),MONTH(B42),1)," ")</f>
        <v>43405</v>
      </c>
      <c r="F42" t="s">
        <v>230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43446</v>
      </c>
      <c r="C43" s="27">
        <f>IF(B43&lt;&gt;"",IF(COUNT($A$33:A43)&lt;=$G$39,0,$G$41)+IF(COUNT($A$33:A43)&lt;=$G$40,0,$G$42),0)</f>
        <v>21515.15151515151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43477</v>
      </c>
      <c r="C44" s="27">
        <f>IF(B44&lt;&gt;"",IF(COUNT($A$33:A44)&lt;=$G$39,0,$G$41)+IF(COUNT($A$33:A44)&lt;=$G$40,0,$G$42),0)</f>
        <v>21515.15151515151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96</v>
      </c>
      <c r="B41" s="191" t="s">
        <v>315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317</v>
      </c>
      <c r="H52" s="12" t="s">
        <v>127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231</v>
      </c>
      <c r="E53" s="10" t="s">
        <v>190</v>
      </c>
      <c r="F53" s="10" t="s">
        <v>250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168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227</v>
      </c>
      <c r="J76" s="11" t="s">
        <v>351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127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357</v>
      </c>
      <c r="F78" s="12" t="s">
        <v>93</v>
      </c>
      <c r="G78" s="12" t="s">
        <v>358</v>
      </c>
      <c r="H78" s="12" t="s">
        <v>318</v>
      </c>
      <c r="I78" s="12" t="s">
        <v>359</v>
      </c>
      <c r="J78" s="70" t="s">
        <v>360</v>
      </c>
      <c r="K78" s="12" t="s">
        <v>315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361</v>
      </c>
      <c r="F79" s="12" t="s">
        <v>362</v>
      </c>
      <c r="G79" s="12" t="s">
        <v>109</v>
      </c>
      <c r="I79" s="12" t="s">
        <v>168</v>
      </c>
      <c r="J79" s="70" t="s">
        <v>363</v>
      </c>
      <c r="K79" s="12" t="s">
        <v>315</v>
      </c>
      <c r="AJ79" s="12"/>
    </row>
    <row r="80" spans="1:36">
      <c r="B80" s="176">
        <v>20</v>
      </c>
      <c r="C80" s="12" t="s">
        <v>364</v>
      </c>
      <c r="D80" s="12">
        <f>D79+1</f>
        <v>2</v>
      </c>
      <c r="E80" s="12" t="s">
        <v>91</v>
      </c>
      <c r="F80" s="12" t="s">
        <v>365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156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