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<sst xmlns="http://schemas.openxmlformats.org/spreadsheetml/2006/main" uniqueCount="367">
  <si>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</si>
  <si>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</si>
  <si>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</si>
  <si>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</si>
  <si>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</si>
  <si>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</si>
  <si>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</si>
  <si>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</si>
  <si>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</si>
  <si>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</si>
  <si>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</si>
  <si>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</si>
  <si>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</si>
  <si>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</si>
  <si>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</si>
  <si>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</si>
  <si>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</si>
  <si>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</si>
  <si>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</si>
  <si>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</si>
  <si>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</si>
  <si>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</si>
  <si>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</si>
  <si>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</si>
  <si>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</si>
  <si>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</si>
  <si>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</si>
  <si>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</si>
  <si>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</si>
  <si>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</si>
  <si>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</si>
  <si>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</si>
  <si>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</si>
  <si>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</si>
  <si>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</si>
  <si>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</si>
  <si>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</si>
  <si>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</si>
  <si>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</si>
  <si>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</si>
  <si>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</si>
  <si>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</si>
  <si>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</si>
  <si>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</si>
  <si>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</si>
  <si>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</si>
  <si>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</si>
  <si>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</si>
  <si>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</si>
  <si>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</si>
  <si>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</si>
  <si>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</si>
  <si>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</si>
  <si>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</si>
  <si>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</si>
  <si>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</si>
  <si>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</si>
  <si>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</si>
  <si>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</si>
  <si>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</si>
  <si>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</si>
  <si>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</si>
  <si>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</si>
  <si>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</si>
  <si>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</si>
  <si>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</si>
  <si>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</si>
  <si>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</si>
  <si>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</si>
  <si>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</si>
  <si>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</si>
  <si>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</si>
  <si>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</si>
  <si>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</si>
  <si>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</si>
  <si>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</si>
  <si>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</si>
  <si>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</si>
  <si>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</si>
  <si>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</si>
  <si>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</si>
  <si>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</si>
  <si>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</si>
  <si>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</si>
  <si>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</si>
  <si>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</si>
  <si>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</si>
  <si>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</si>
  <si>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</si>
  <si>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</si>
  <si>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</si>
  <si>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</si>
  <si>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February</t>
  </si>
  <si>
    <t>Beans</t>
  </si>
  <si>
    <t>Yes only manure</t>
  </si>
  <si>
    <t>Maize</t>
  </si>
  <si>
    <t>Yes</t>
  </si>
  <si>
    <t>Yes using a diesel pump</t>
  </si>
  <si>
    <t>March</t>
  </si>
  <si>
    <t>Tomatoes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</si>
  <si>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</si>
  <si>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</si>
  <si>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</si>
  <si>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</si>
  <si>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</si>
  <si>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</si>
  <si>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</si>
  <si>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</si>
  <si>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</si>
  <si>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</si>
  <si>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</si>
  <si>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</si>
  <si>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</si>
  <si>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</si>
  <si>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</si>
  <si>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Goat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</si>
  <si>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</si>
  <si>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</si>
  <si>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</si>
  <si>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</si>
  <si>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</si>
  <si>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electrician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</si>
  <si>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</si>
  <si>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</si>
  <si>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</si>
  <si>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</si>
  <si>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</si>
  <si>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</si>
  <si>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</si>
  <si>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</si>
  <si>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</si>
  <si>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</si>
  <si>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</si>
  <si>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April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</si>
  <si>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</si>
  <si>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</si>
  <si>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</si>
  <si>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</si>
  <si>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</si>
  <si>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</si>
  <si>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</si>
  <si>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</si>
  <si>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</si>
  <si>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</si>
  <si>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</si>
  <si>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</si>
  <si>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</si>
  <si>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</si>
  <si>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</si>
  <si>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</si>
  <si>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10/16/2016</t>
  </si>
  <si>
    <t>musoni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</si>
  <si>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</si>
  <si>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</si>
  <si>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</si>
  <si>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</si>
  <si>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</si>
  <si>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</si>
  <si>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</si>
  <si>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</si>
  <si>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</si>
  <si>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</si>
  <si>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</si>
  <si>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</si>
  <si>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2018/1/12</t>
  </si>
  <si>
    <t>Loan terms</t>
  </si>
  <si>
    <t>Expected disbursement date</t>
  </si>
  <si>
    <t>Expected first repayment date</t>
  </si>
  <si>
    <t>2018/2/16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</si>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</sst>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Beans, Maize, Tomatoes,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Goat</v>
      </c>
    </row>
    <row r="8" spans="1:7">
      <c r="B8" s="1" t="s">
        <v>4</v>
      </c>
      <c r="C8" t="str">
        <f>IF(Inputs!B29="","None",Inputs!B29)</f>
        <v>electrician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0.2370162463133074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0.03951007506914263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374857.5300192</v>
      </c>
    </row>
    <row r="18" spans="1:7">
      <c r="B18" s="1" t="s">
        <v>12</v>
      </c>
      <c r="C18" s="36">
        <f>MIN(Output!B6:M6)</f>
        <v>26936.87750159999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2018</v>
      </c>
    </row>
    <row r="20" spans="1:7">
      <c r="B20" s="1" t="s">
        <v>14</v>
      </c>
      <c r="C20" s="36">
        <f>MAX(Output!B6:M6)</f>
        <v>34744.3775016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35000</v>
      </c>
    </row>
    <row r="25" spans="1:7">
      <c r="B25" s="1" t="s">
        <v>18</v>
      </c>
      <c r="C25" s="36">
        <f>MAX(Inputs!A56:A60)</f>
        <v>35000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31436.87750159999</v>
      </c>
      <c r="C6" s="51">
        <f>C30-C88</f>
        <v>26936.87750159999</v>
      </c>
      <c r="D6" s="51">
        <f>D30-D88</f>
        <v>31436.87750159999</v>
      </c>
      <c r="E6" s="51">
        <f>E30-E88</f>
        <v>31436.87750159999</v>
      </c>
      <c r="F6" s="51">
        <f>F30-F88</f>
        <v>31436.87750159999</v>
      </c>
      <c r="G6" s="51">
        <f>G30-G88</f>
        <v>34744.3775016</v>
      </c>
      <c r="H6" s="51">
        <f>H30-H88</f>
        <v>31436.87750159999</v>
      </c>
      <c r="I6" s="51">
        <f>I30-I88</f>
        <v>26936.87750159999</v>
      </c>
      <c r="J6" s="51">
        <f>J30-J88</f>
        <v>31436.87750159999</v>
      </c>
      <c r="K6" s="51">
        <f>K30-K88</f>
        <v>31436.87750159999</v>
      </c>
      <c r="L6" s="51">
        <f>L30-L88</f>
        <v>31436.87750159999</v>
      </c>
      <c r="M6" s="51">
        <f>M30-M88</f>
        <v>34744.3775016</v>
      </c>
      <c r="N6" s="51">
        <f>N30-N88</f>
        <v>31436.87750159999</v>
      </c>
      <c r="O6" s="51">
        <f>O30-O88</f>
        <v>26936.87750159999</v>
      </c>
      <c r="P6" s="51">
        <f>P30-P88</f>
        <v>31436.87750159999</v>
      </c>
      <c r="Q6" s="51">
        <f>Q30-Q88</f>
        <v>31436.87750159999</v>
      </c>
      <c r="R6" s="51">
        <f>R30-R88</f>
        <v>31436.87750159999</v>
      </c>
      <c r="S6" s="51">
        <f>S30-S88</f>
        <v>34744.3775016</v>
      </c>
      <c r="T6" s="51">
        <f>T30-T88</f>
        <v>31436.87750159999</v>
      </c>
      <c r="U6" s="51">
        <f>U30-U88</f>
        <v>26936.87750159999</v>
      </c>
      <c r="V6" s="51">
        <f>V30-V88</f>
        <v>31436.87750159999</v>
      </c>
      <c r="W6" s="51">
        <f>W30-W88</f>
        <v>31436.87750159999</v>
      </c>
      <c r="X6" s="51">
        <f>X30-X88</f>
        <v>31436.87750159999</v>
      </c>
      <c r="Y6" s="51">
        <f>Y30-Y88</f>
        <v>34744.3775016</v>
      </c>
      <c r="Z6" s="51">
        <f>SUMIF($B$13:$Y$13,"Yes",B6:Y6)</f>
        <v>406294.4075208</v>
      </c>
      <c r="AA6" s="51">
        <f>AA30-AA88</f>
        <v>374857.5300192</v>
      </c>
      <c r="AB6" s="51">
        <f>AB30-AB88</f>
        <v>749715.0600383995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1830</v>
      </c>
      <c r="I7" s="80">
        <f>IF(ISERROR(VLOOKUP(MONTH(I5),Inputs!$D$66:$D$71,1,0)),"",INDEX(Inputs!$B$66:$B$71,MATCH(MONTH(Output!I5),Inputs!$D$66:$D$71,0))-INDEX(Inputs!$C$66:$C$71,MATCH(MONTH(Output!I5),Inputs!$D$66:$D$71,0)))</f>
        <v>-2480</v>
      </c>
      <c r="J7" s="80">
        <f>IF(ISERROR(VLOOKUP(MONTH(J5),Inputs!$D$66:$D$71,1,0)),"",INDEX(Inputs!$B$66:$B$71,MATCH(MONTH(Output!J5),Inputs!$D$66:$D$71,0))-INDEX(Inputs!$C$66:$C$71,MATCH(MONTH(Output!J5),Inputs!$D$66:$D$71,0)))</f>
        <v>4700</v>
      </c>
      <c r="K7" s="80">
        <f>IF(ISERROR(VLOOKUP(MONTH(K5),Inputs!$D$66:$D$71,1,0)),"",INDEX(Inputs!$B$66:$B$71,MATCH(MONTH(Output!K5),Inputs!$D$66:$D$71,0))-INDEX(Inputs!$C$66:$C$71,MATCH(MONTH(Output!K5),Inputs!$D$66:$D$71,0)))</f>
        <v>-3380</v>
      </c>
      <c r="L7" s="80">
        <f>IF(ISERROR(VLOOKUP(MONTH(L5),Inputs!$D$66:$D$71,1,0)),"",INDEX(Inputs!$B$66:$B$71,MATCH(MONTH(Output!L5),Inputs!$D$66:$D$71,0))-INDEX(Inputs!$C$66:$C$71,MATCH(MONTH(Output!L5),Inputs!$D$66:$D$71,0)))</f>
        <v>1435</v>
      </c>
      <c r="M7" s="80">
        <f>IF(ISERROR(VLOOKUP(MONTH(M5),Inputs!$D$66:$D$71,1,0)),"",INDEX(Inputs!$B$66:$B$71,MATCH(MONTH(Output!M5),Inputs!$D$66:$D$71,0))-INDEX(Inputs!$C$66:$C$71,MATCH(MONTH(Output!M5),Inputs!$D$66:$D$71,0)))</f>
        <v>11025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1830</v>
      </c>
      <c r="U7" s="80">
        <f>IF(ISERROR(VLOOKUP(MONTH(U5),Inputs!$D$66:$D$71,1,0)),"",INDEX(Inputs!$B$66:$B$71,MATCH(MONTH(Output!U5),Inputs!$D$66:$D$71,0))-INDEX(Inputs!$C$66:$C$71,MATCH(MONTH(Output!U5),Inputs!$D$66:$D$71,0)))</f>
        <v>-2480</v>
      </c>
      <c r="V7" s="80">
        <f>IF(ISERROR(VLOOKUP(MONTH(V5),Inputs!$D$66:$D$71,1,0)),"",INDEX(Inputs!$B$66:$B$71,MATCH(MONTH(Output!V5),Inputs!$D$66:$D$71,0))-INDEX(Inputs!$C$66:$C$71,MATCH(MONTH(Output!V5),Inputs!$D$66:$D$71,0)))</f>
        <v>4700</v>
      </c>
      <c r="W7" s="80">
        <f>IF(ISERROR(VLOOKUP(MONTH(W5),Inputs!$D$66:$D$71,1,0)),"",INDEX(Inputs!$B$66:$B$71,MATCH(MONTH(Output!W5),Inputs!$D$66:$D$71,0))-INDEX(Inputs!$C$66:$C$71,MATCH(MONTH(Output!W5),Inputs!$D$66:$D$71,0)))</f>
        <v>-3380</v>
      </c>
      <c r="X7" s="80">
        <f>IF(ISERROR(VLOOKUP(MONTH(X5),Inputs!$D$66:$D$71,1,0)),"",INDEX(Inputs!$B$66:$B$71,MATCH(MONTH(Output!X5),Inputs!$D$66:$D$71,0))-INDEX(Inputs!$C$66:$C$71,MATCH(MONTH(Output!X5),Inputs!$D$66:$D$71,0)))</f>
        <v>1435</v>
      </c>
      <c r="Y7" s="80">
        <f>IF(ISERROR(VLOOKUP(MONTH(Y5),Inputs!$D$66:$D$71,1,0)),"",INDEX(Inputs!$B$66:$B$71,MATCH(MONTH(Output!Y5),Inputs!$D$66:$D$71,0))-INDEX(Inputs!$C$66:$C$71,MATCH(MONTH(Output!Y5),Inputs!$D$66:$D$71,0)))</f>
        <v>11025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131436.8775016</v>
      </c>
      <c r="C11" s="80">
        <f>C6+C9-C10</f>
        <v>16936.87750159999</v>
      </c>
      <c r="D11" s="80">
        <f>D6+D9-D10</f>
        <v>21436.87750159999</v>
      </c>
      <c r="E11" s="80">
        <f>E6+E9-E10</f>
        <v>21436.87750159999</v>
      </c>
      <c r="F11" s="80">
        <f>F6+F9-F10</f>
        <v>21436.87750159999</v>
      </c>
      <c r="G11" s="80">
        <f>G6+G9-G10</f>
        <v>24744.3775016</v>
      </c>
      <c r="H11" s="80">
        <f>H6+H9-H10</f>
        <v>21436.87750159999</v>
      </c>
      <c r="I11" s="80">
        <f>I6+I9-I10</f>
        <v>16936.87750159999</v>
      </c>
      <c r="J11" s="80">
        <f>J6+J9-J10</f>
        <v>21436.87750159999</v>
      </c>
      <c r="K11" s="80">
        <f>K6+K9-K10</f>
        <v>21436.87750159999</v>
      </c>
      <c r="L11" s="80">
        <f>L6+L9-L10</f>
        <v>21436.87750159999</v>
      </c>
      <c r="M11" s="80">
        <f>M6+M9-M10</f>
        <v>24744.3775016</v>
      </c>
      <c r="N11" s="80">
        <f>N6+N9-N10</f>
        <v>21436.87750159999</v>
      </c>
      <c r="O11" s="80">
        <f>O6+O9-O10</f>
        <v>26936.87750159999</v>
      </c>
      <c r="P11" s="80">
        <f>P6+P9-P10</f>
        <v>31436.87750159999</v>
      </c>
      <c r="Q11" s="80">
        <f>Q6+Q9-Q10</f>
        <v>31436.87750159999</v>
      </c>
      <c r="R11" s="80">
        <f>R6+R9-R10</f>
        <v>31436.87750159999</v>
      </c>
      <c r="S11" s="80">
        <f>S6+S9-S10</f>
        <v>34744.3775016</v>
      </c>
      <c r="T11" s="80">
        <f>T6+T9-T10</f>
        <v>31436.87750159999</v>
      </c>
      <c r="U11" s="80">
        <f>U6+U9-U10</f>
        <v>26936.87750159999</v>
      </c>
      <c r="V11" s="80">
        <f>V6+V9-V10</f>
        <v>31436.87750159999</v>
      </c>
      <c r="W11" s="80">
        <f>W6+W9-W10</f>
        <v>31436.87750159999</v>
      </c>
      <c r="X11" s="80">
        <f>X6+X9-X10</f>
        <v>31436.87750159999</v>
      </c>
      <c r="Y11" s="80">
        <f>Y6+Y9-Y10</f>
        <v>34744.3775016</v>
      </c>
      <c r="Z11" s="85">
        <f>SUMIF($B$13:$Y$13,"Yes",B11:Y11)</f>
        <v>386294.4075208</v>
      </c>
      <c r="AA11" s="80">
        <f>SUM(B11:M11)</f>
        <v>364857.5300191999</v>
      </c>
      <c r="AB11" s="46">
        <f>SUM(B11:Y11)</f>
        <v>729715.0600383998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0.06314177497274058</v>
      </c>
      <c r="D12" s="82">
        <f>IF(D13="Yes",IF(SUM($B$10:D10)/(SUM($B$6:D6)+SUM($B$9:D9))&lt;0,999.99,SUM($B$10:D10)/(SUM($B$6:D6)+SUM($B$9:D9))),"")</f>
        <v>0.1053681753022673</v>
      </c>
      <c r="E12" s="82">
        <f>IF(E13="Yes",IF(SUM($B$10:E10)/(SUM($B$6:E6)+SUM($B$9:E9))&lt;0,999.99,SUM($B$10:E10)/(SUM($B$6:E6)+SUM($B$9:E9))),"")</f>
        <v>0.1355947463505112</v>
      </c>
      <c r="F12" s="82">
        <f>IF(F13="Yes",IF(SUM($B$10:F10)/(SUM($B$6:F6)+SUM($B$9:F9))&lt;0,999.99,SUM($B$10:F10)/(SUM($B$6:F6)+SUM($B$9:F9))),"")</f>
        <v>0.1583002432183651</v>
      </c>
      <c r="G12" s="82">
        <f>IF(G13="Yes",IF(SUM($B$10:G10)/(SUM($B$6:G6)+SUM($B$9:G9))&lt;0,999.99,SUM($B$10:G10)/(SUM($B$6:G6)+SUM($B$9:G9))),"")</f>
        <v>0.1739561452672631</v>
      </c>
      <c r="H12" s="82">
        <f>IF(H13="Yes",IF(SUM($B$10:H10)/(SUM($B$6:H6)+SUM($B$9:H9))&lt;0,999.99,SUM($B$10:H10)/(SUM($B$6:H6)+SUM($B$9:H9))),"")</f>
        <v>0.1881670271135986</v>
      </c>
      <c r="I12" s="82">
        <f>IF(I13="Yes",IF(SUM($B$10:I10)/(SUM($B$6:I6)+SUM($B$9:I9))&lt;0,999.99,SUM($B$10:I10)/(SUM($B$6:I6)+SUM($B$9:I9))),"")</f>
        <v>0.2024276746086435</v>
      </c>
      <c r="J12" s="82">
        <f>IF(J13="Yes",IF(SUM($B$10:J10)/(SUM($B$6:J6)+SUM($B$9:J9))&lt;0,999.99,SUM($B$10:J10)/(SUM($B$6:J6)+SUM($B$9:J9))),"")</f>
        <v>0.2120669275985318</v>
      </c>
      <c r="K12" s="82">
        <f>IF(K13="Yes",IF(SUM($B$10:K10)/(SUM($B$6:K6)+SUM($B$9:K9))&lt;0,999.99,SUM($B$10:K10)/(SUM($B$6:K6)+SUM($B$9:K9))),"")</f>
        <v>0.2202232072230678</v>
      </c>
      <c r="L12" s="82">
        <f>IF(L13="Yes",IF(SUM($B$10:L10)/(SUM($B$6:L6)+SUM($B$9:L9))&lt;0,999.99,SUM($B$10:L10)/(SUM($B$6:L6)+SUM($B$9:L9))),"")</f>
        <v>0.2272142957509115</v>
      </c>
      <c r="M12" s="82">
        <f>IF(M13="Yes",IF(SUM($B$10:M10)/(SUM($B$6:M6)+SUM($B$9:M9))&lt;0,999.99,SUM($B$10:M10)/(SUM($B$6:M6)+SUM($B$9:M9))),"")</f>
        <v>0.2316484272568076</v>
      </c>
      <c r="N12" s="82">
        <f>IF(N13="Yes",IF(SUM($B$10:N10)/(SUM($B$6:N6)+SUM($B$9:N9))&lt;0,999.99,SUM($B$10:N10)/(SUM($B$6:N6)+SUM($B$9:N9))),"")</f>
        <v>0.2370162463133074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2637.295836</v>
      </c>
      <c r="C18" s="36">
        <f>O18</f>
        <v>2637.295836</v>
      </c>
      <c r="D18" s="36">
        <f>P18</f>
        <v>2637.295836</v>
      </c>
      <c r="E18" s="36">
        <f>Q18</f>
        <v>2637.295836</v>
      </c>
      <c r="F18" s="36">
        <f>R18</f>
        <v>2637.295836</v>
      </c>
      <c r="G18" s="36">
        <f>S18</f>
        <v>2637.295836</v>
      </c>
      <c r="H18" s="36">
        <f>T18</f>
        <v>2637.295836</v>
      </c>
      <c r="I18" s="36">
        <f>U18</f>
        <v>2637.295836</v>
      </c>
      <c r="J18" s="36">
        <f>V18</f>
        <v>2637.295836</v>
      </c>
      <c r="K18" s="36">
        <f>W18</f>
        <v>2637.295836</v>
      </c>
      <c r="L18" s="36">
        <f>X18</f>
        <v>2637.295836</v>
      </c>
      <c r="M18" s="36">
        <f>Y18</f>
        <v>2637.295836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2637.295836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2637.295836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2637.295836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2637.295836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2637.295836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2637.295836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2637.295836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2637.295836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2637.295836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2637.295836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2637.295836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2637.295836</v>
      </c>
      <c r="Z18" s="36">
        <f>SUMIF($B$13:$Y$13,"Yes",B18:Y18)</f>
        <v>34284.845868</v>
      </c>
      <c r="AA18" s="36">
        <f>SUM(B18:M18)</f>
        <v>31647.550032</v>
      </c>
      <c r="AB18" s="36">
        <f>SUM(B18:Y18)</f>
        <v>63295.10006399998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3307.5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3307.5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3307.5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3307.5</v>
      </c>
      <c r="Z19" s="36">
        <f>SUMIF($B$13:$Y$13,"Yes",B19:Y19)</f>
        <v>6615</v>
      </c>
      <c r="AA19" s="36">
        <f>SUM(B19:M19)</f>
        <v>6615</v>
      </c>
      <c r="AB19" s="36">
        <f>SUM(B19:Y19)</f>
        <v>13230</v>
      </c>
      <c r="AC19" s="43"/>
      <c r="AD19" s="43"/>
    </row>
    <row r="20" spans="1:30">
      <c r="A20" t="str">
        <f>IF(Calculations!A6&lt;&gt;Parameters!$A$18,IF(Calculations!A6=0,"",Calculations!A6),Inputs!B9)</f>
        <v>Maize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Tomatoes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25800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415187.4999999999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500</v>
      </c>
      <c r="C25" s="36">
        <f>IFERROR(Calculations!$P15/12,"")</f>
        <v>500</v>
      </c>
      <c r="D25" s="36">
        <f>IFERROR(Calculations!$P15/12,"")</f>
        <v>500</v>
      </c>
      <c r="E25" s="36">
        <f>IFERROR(Calculations!$P15/12,"")</f>
        <v>500</v>
      </c>
      <c r="F25" s="36">
        <f>IFERROR(Calculations!$P15/12,"")</f>
        <v>500</v>
      </c>
      <c r="G25" s="36">
        <f>IFERROR(Calculations!$P15/12,"")</f>
        <v>500</v>
      </c>
      <c r="H25" s="36">
        <f>IFERROR(Calculations!$P15/12,"")</f>
        <v>500</v>
      </c>
      <c r="I25" s="36">
        <f>IFERROR(Calculations!$P15/12,"")</f>
        <v>500</v>
      </c>
      <c r="J25" s="36">
        <f>IFERROR(Calculations!$P15/12,"")</f>
        <v>500</v>
      </c>
      <c r="K25" s="36">
        <f>IFERROR(Calculations!$P15/12,"")</f>
        <v>500</v>
      </c>
      <c r="L25" s="36">
        <f>IFERROR(Calculations!$P15/12,"")</f>
        <v>500</v>
      </c>
      <c r="M25" s="36">
        <f>IFERROR(Calculations!$P15/12,"")</f>
        <v>500</v>
      </c>
      <c r="N25" s="36">
        <f>IFERROR(Calculations!$P15/12,"")</f>
        <v>500</v>
      </c>
      <c r="O25" s="36">
        <f>IFERROR(Calculations!$P15/12,"")</f>
        <v>500</v>
      </c>
      <c r="P25" s="36">
        <f>IFERROR(Calculations!$P15/12,"")</f>
        <v>500</v>
      </c>
      <c r="Q25" s="36">
        <f>IFERROR(Calculations!$P15/12,"")</f>
        <v>500</v>
      </c>
      <c r="R25" s="36">
        <f>IFERROR(Calculations!$P15/12,"")</f>
        <v>500</v>
      </c>
      <c r="S25" s="36">
        <f>IFERROR(Calculations!$P15/12,"")</f>
        <v>500</v>
      </c>
      <c r="T25" s="36">
        <f>IFERROR(Calculations!$P15/12,"")</f>
        <v>500</v>
      </c>
      <c r="U25" s="36">
        <f>IFERROR(Calculations!$P15/12,"")</f>
        <v>500</v>
      </c>
      <c r="V25" s="36">
        <f>IFERROR(Calculations!$P15/12,"")</f>
        <v>500</v>
      </c>
      <c r="W25" s="36">
        <f>IFERROR(Calculations!$P15/12,"")</f>
        <v>500</v>
      </c>
      <c r="X25" s="36">
        <f>IFERROR(Calculations!$P15/12,"")</f>
        <v>500</v>
      </c>
      <c r="Y25" s="36">
        <f>IFERROR(Calculations!$P15/12,"")</f>
        <v>500</v>
      </c>
      <c r="Z25" s="36">
        <f>SUMIF($B$13:$Y$13,"Yes",B25:Y25)</f>
        <v>6500</v>
      </c>
      <c r="AA25" s="36">
        <f>SUM(B25:M25)</f>
        <v>6000</v>
      </c>
      <c r="AB25" s="46">
        <f>SUM(B25:Y25)</f>
        <v>12000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390000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65074.795836</v>
      </c>
      <c r="C30" s="19">
        <f>SUM(C18:C29)</f>
        <v>65074.795836</v>
      </c>
      <c r="D30" s="19">
        <f>SUM(D18:D29)</f>
        <v>65074.795836</v>
      </c>
      <c r="E30" s="19">
        <f>SUM(E18:E29)</f>
        <v>65074.795836</v>
      </c>
      <c r="F30" s="19">
        <f>SUM(F18:F29)</f>
        <v>65074.795836</v>
      </c>
      <c r="G30" s="19">
        <f>SUM(G18:G29)</f>
        <v>68382.295836</v>
      </c>
      <c r="H30" s="19">
        <f>SUM(H18:H29)</f>
        <v>65074.795836</v>
      </c>
      <c r="I30" s="19">
        <f>SUM(I18:I29)</f>
        <v>65074.795836</v>
      </c>
      <c r="J30" s="19">
        <f>SUM(J18:J29)</f>
        <v>65074.795836</v>
      </c>
      <c r="K30" s="19">
        <f>SUM(K18:K29)</f>
        <v>65074.795836</v>
      </c>
      <c r="L30" s="19">
        <f>SUM(L18:L29)</f>
        <v>65074.795836</v>
      </c>
      <c r="M30" s="19">
        <f>SUM(M18:M29)</f>
        <v>68382.295836</v>
      </c>
      <c r="N30" s="19">
        <f>SUM(N18:N29)</f>
        <v>65074.795836</v>
      </c>
      <c r="O30" s="19">
        <f>SUM(O18:O29)</f>
        <v>65074.795836</v>
      </c>
      <c r="P30" s="19">
        <f>SUM(P18:P29)</f>
        <v>65074.795836</v>
      </c>
      <c r="Q30" s="19">
        <f>SUM(Q18:Q29)</f>
        <v>65074.795836</v>
      </c>
      <c r="R30" s="19">
        <f>SUM(R18:R29)</f>
        <v>65074.795836</v>
      </c>
      <c r="S30" s="19">
        <f>SUM(S18:S29)</f>
        <v>68382.295836</v>
      </c>
      <c r="T30" s="19">
        <f>SUM(T18:T29)</f>
        <v>65074.795836</v>
      </c>
      <c r="U30" s="19">
        <f>SUM(U18:U29)</f>
        <v>65074.795836</v>
      </c>
      <c r="V30" s="19">
        <f>SUM(V18:V29)</f>
        <v>65074.795836</v>
      </c>
      <c r="W30" s="19">
        <f>SUM(W18:W29)</f>
        <v>65074.795836</v>
      </c>
      <c r="X30" s="19">
        <f>SUM(X18:X29)</f>
        <v>65074.795836</v>
      </c>
      <c r="Y30" s="19">
        <f>SUM(Y18:Y29)</f>
        <v>68382.295836</v>
      </c>
      <c r="Z30" s="19">
        <f>SUMIF($B$13:$Y$13,"Yes",B30:Y30)</f>
        <v>852587.3458679999</v>
      </c>
      <c r="AA30" s="19">
        <f>SUM(B30:M30)</f>
        <v>787512.5500319999</v>
      </c>
      <c r="AB30" s="19">
        <f>SUM(B30:Y30)</f>
        <v>1575025.100064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2000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2000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2000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2000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2000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2000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2000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2000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Maize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Tomatoes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2500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2500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2500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2500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5000</v>
      </c>
      <c r="AA42" s="36">
        <f>SUM(B42:M42)</f>
        <v>5000</v>
      </c>
      <c r="AB42" s="36">
        <f>SUM(B42:Y42)</f>
        <v>10000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2500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2500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2500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2500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5000</v>
      </c>
      <c r="AA44" s="36">
        <f>SUM(B44:M44)</f>
        <v>5000</v>
      </c>
      <c r="AB44" s="36">
        <f>SUM(B44:Y44)</f>
        <v>10000</v>
      </c>
    </row>
    <row r="45" spans="1:30" hidden="true" outlineLevel="1">
      <c r="A45" s="181" t="str">
        <f>Calculations!$A$6</f>
        <v>Maize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Tomatoes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Maize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Tomatoes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Maize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Tomatoes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Maize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Tomatoes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Bananas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Beans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Maize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Tomatoes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19770.83333333333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216.6666666666667</v>
      </c>
      <c r="C75" s="46">
        <f>SUM(Calculations!$R$14:$R$16)/12</f>
        <v>216.6666666666667</v>
      </c>
      <c r="D75" s="46">
        <f>SUM(Calculations!$R$14:$R$16)/12</f>
        <v>216.6666666666667</v>
      </c>
      <c r="E75" s="46">
        <f>SUM(Calculations!$R$14:$R$16)/12</f>
        <v>216.6666666666667</v>
      </c>
      <c r="F75" s="46">
        <f>SUM(Calculations!$R$14:$R$16)/12</f>
        <v>216.6666666666667</v>
      </c>
      <c r="G75" s="46">
        <f>SUM(Calculations!$R$14:$R$16)/12</f>
        <v>216.6666666666667</v>
      </c>
      <c r="H75" s="46">
        <f>SUM(Calculations!$R$14:$R$16)/12</f>
        <v>216.6666666666667</v>
      </c>
      <c r="I75" s="46">
        <f>SUM(Calculations!$R$14:$R$16)/12</f>
        <v>216.6666666666667</v>
      </c>
      <c r="J75" s="46">
        <f>SUM(Calculations!$R$14:$R$16)/12</f>
        <v>216.6666666666667</v>
      </c>
      <c r="K75" s="46">
        <f>SUM(Calculations!$R$14:$R$16)/12</f>
        <v>216.6666666666667</v>
      </c>
      <c r="L75" s="46">
        <f>SUM(Calculations!$R$14:$R$16)/12</f>
        <v>216.6666666666667</v>
      </c>
      <c r="M75" s="46">
        <f>SUM(Calculations!$R$14:$R$16)/12</f>
        <v>216.6666666666667</v>
      </c>
      <c r="N75" s="46">
        <f>SUM(Calculations!$R$14:$R$16)/12</f>
        <v>216.6666666666667</v>
      </c>
      <c r="O75" s="46">
        <f>SUM(Calculations!$R$14:$R$16)/12</f>
        <v>216.6666666666667</v>
      </c>
      <c r="P75" s="46">
        <f>SUM(Calculations!$R$14:$R$16)/12</f>
        <v>216.6666666666667</v>
      </c>
      <c r="Q75" s="46">
        <f>SUM(Calculations!$R$14:$R$16)/12</f>
        <v>216.6666666666667</v>
      </c>
      <c r="R75" s="46">
        <f>SUM(Calculations!$R$14:$R$16)/12</f>
        <v>216.6666666666667</v>
      </c>
      <c r="S75" s="46">
        <f>SUM(Calculations!$R$14:$R$16)/12</f>
        <v>216.6666666666667</v>
      </c>
      <c r="T75" s="46">
        <f>SUM(Calculations!$R$14:$R$16)/12</f>
        <v>216.6666666666667</v>
      </c>
      <c r="U75" s="46">
        <f>SUM(Calculations!$R$14:$R$16)/12</f>
        <v>216.6666666666667</v>
      </c>
      <c r="V75" s="46">
        <f>SUM(Calculations!$R$14:$R$16)/12</f>
        <v>216.6666666666667</v>
      </c>
      <c r="W75" s="46">
        <f>SUM(Calculations!$R$14:$R$16)/12</f>
        <v>216.6666666666667</v>
      </c>
      <c r="X75" s="46">
        <f>SUM(Calculations!$R$14:$R$16)/12</f>
        <v>216.6666666666667</v>
      </c>
      <c r="Y75" s="46">
        <f>SUM(Calculations!$R$14:$R$16)/12</f>
        <v>216.6666666666667</v>
      </c>
      <c r="Z75" s="46">
        <f>SUMIF($B$13:$Y$13,"Yes",B75:Y75)</f>
        <v>2816.666666666667</v>
      </c>
      <c r="AA75" s="46">
        <f>SUM(B75:M75)</f>
        <v>2600</v>
      </c>
      <c r="AB75" s="46">
        <f>SUM(B75:Y75)</f>
        <v>5200.000000000001</v>
      </c>
    </row>
    <row r="76" spans="1:30">
      <c r="A76" s="16" t="s">
        <v>48</v>
      </c>
      <c r="B76" s="46">
        <f>SUM(Calculations!$S$14:$S$16)/12</f>
        <v>1075</v>
      </c>
      <c r="C76" s="46">
        <f>SUM(Calculations!$S$14:$S$16)/12</f>
        <v>1075</v>
      </c>
      <c r="D76" s="46">
        <f>SUM(Calculations!$S$14:$S$16)/12</f>
        <v>1075</v>
      </c>
      <c r="E76" s="46">
        <f>SUM(Calculations!$S$14:$S$16)/12</f>
        <v>1075</v>
      </c>
      <c r="F76" s="46">
        <f>SUM(Calculations!$S$14:$S$16)/12</f>
        <v>1075</v>
      </c>
      <c r="G76" s="46">
        <f>SUM(Calculations!$S$14:$S$16)/12</f>
        <v>1075</v>
      </c>
      <c r="H76" s="46">
        <f>SUM(Calculations!$S$14:$S$16)/12</f>
        <v>1075</v>
      </c>
      <c r="I76" s="46">
        <f>SUM(Calculations!$S$14:$S$16)/12</f>
        <v>1075</v>
      </c>
      <c r="J76" s="46">
        <f>SUM(Calculations!$S$14:$S$16)/12</f>
        <v>1075</v>
      </c>
      <c r="K76" s="46">
        <f>SUM(Calculations!$S$14:$S$16)/12</f>
        <v>1075</v>
      </c>
      <c r="L76" s="46">
        <f>SUM(Calculations!$S$14:$S$16)/12</f>
        <v>1075</v>
      </c>
      <c r="M76" s="46">
        <f>SUM(Calculations!$S$14:$S$16)/12</f>
        <v>1075</v>
      </c>
      <c r="N76" s="46">
        <f>SUM(Calculations!$S$14:$S$16)/12</f>
        <v>1075</v>
      </c>
      <c r="O76" s="46">
        <f>SUM(Calculations!$S$14:$S$16)/12</f>
        <v>1075</v>
      </c>
      <c r="P76" s="46">
        <f>SUM(Calculations!$S$14:$S$16)/12</f>
        <v>1075</v>
      </c>
      <c r="Q76" s="46">
        <f>SUM(Calculations!$S$14:$S$16)/12</f>
        <v>1075</v>
      </c>
      <c r="R76" s="46">
        <f>SUM(Calculations!$S$14:$S$16)/12</f>
        <v>1075</v>
      </c>
      <c r="S76" s="46">
        <f>SUM(Calculations!$S$14:$S$16)/12</f>
        <v>1075</v>
      </c>
      <c r="T76" s="46">
        <f>SUM(Calculations!$S$14:$S$16)/12</f>
        <v>1075</v>
      </c>
      <c r="U76" s="46">
        <f>SUM(Calculations!$S$14:$S$16)/12</f>
        <v>1075</v>
      </c>
      <c r="V76" s="46">
        <f>SUM(Calculations!$S$14:$S$16)/12</f>
        <v>1075</v>
      </c>
      <c r="W76" s="46">
        <f>SUM(Calculations!$S$14:$S$16)/12</f>
        <v>1075</v>
      </c>
      <c r="X76" s="46">
        <f>SUM(Calculations!$S$14:$S$16)/12</f>
        <v>1075</v>
      </c>
      <c r="Y76" s="46">
        <f>SUM(Calculations!$S$14:$S$16)/12</f>
        <v>1075</v>
      </c>
      <c r="Z76" s="46">
        <f>SUMIF($B$13:$Y$13,"Yes",B76:Y76)</f>
        <v>13975</v>
      </c>
      <c r="AA76" s="46">
        <f>SUM(B76:M76)</f>
        <v>12900</v>
      </c>
      <c r="AB76" s="46">
        <f>SUM(B76:Y76)</f>
        <v>25800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20825.4183344</v>
      </c>
      <c r="C81" s="46">
        <f>(SUM($AA$18:$AA$29)-SUM($AA$36,$AA$42,$AA$48,$AA$54,$AA$60,$AA$66,$AA$72:$AA$79))*Parameters!$B$37/12</f>
        <v>20825.4183344</v>
      </c>
      <c r="D81" s="46">
        <f>(SUM($AA$18:$AA$29)-SUM($AA$36,$AA$42,$AA$48,$AA$54,$AA$60,$AA$66,$AA$72:$AA$79))*Parameters!$B$37/12</f>
        <v>20825.4183344</v>
      </c>
      <c r="E81" s="46">
        <f>(SUM($AA$18:$AA$29)-SUM($AA$36,$AA$42,$AA$48,$AA$54,$AA$60,$AA$66,$AA$72:$AA$79))*Parameters!$B$37/12</f>
        <v>20825.4183344</v>
      </c>
      <c r="F81" s="46">
        <f>(SUM($AA$18:$AA$29)-SUM($AA$36,$AA$42,$AA$48,$AA$54,$AA$60,$AA$66,$AA$72:$AA$79))*Parameters!$B$37/12</f>
        <v>20825.4183344</v>
      </c>
      <c r="G81" s="46">
        <f>(SUM($AA$18:$AA$29)-SUM($AA$36,$AA$42,$AA$48,$AA$54,$AA$60,$AA$66,$AA$72:$AA$79))*Parameters!$B$37/12</f>
        <v>20825.4183344</v>
      </c>
      <c r="H81" s="46">
        <f>(SUM($AA$18:$AA$29)-SUM($AA$36,$AA$42,$AA$48,$AA$54,$AA$60,$AA$66,$AA$72:$AA$79))*Parameters!$B$37/12</f>
        <v>20825.4183344</v>
      </c>
      <c r="I81" s="46">
        <f>(SUM($AA$18:$AA$29)-SUM($AA$36,$AA$42,$AA$48,$AA$54,$AA$60,$AA$66,$AA$72:$AA$79))*Parameters!$B$37/12</f>
        <v>20825.4183344</v>
      </c>
      <c r="J81" s="46">
        <f>(SUM($AA$18:$AA$29)-SUM($AA$36,$AA$42,$AA$48,$AA$54,$AA$60,$AA$66,$AA$72:$AA$79))*Parameters!$B$37/12</f>
        <v>20825.4183344</v>
      </c>
      <c r="K81" s="46">
        <f>(SUM($AA$18:$AA$29)-SUM($AA$36,$AA$42,$AA$48,$AA$54,$AA$60,$AA$66,$AA$72:$AA$79))*Parameters!$B$37/12</f>
        <v>20825.4183344</v>
      </c>
      <c r="L81" s="46">
        <f>(SUM($AA$18:$AA$29)-SUM($AA$36,$AA$42,$AA$48,$AA$54,$AA$60,$AA$66,$AA$72:$AA$79))*Parameters!$B$37/12</f>
        <v>20825.4183344</v>
      </c>
      <c r="M81" s="46">
        <f>(SUM($AA$18:$AA$29)-SUM($AA$36,$AA$42,$AA$48,$AA$54,$AA$60,$AA$66,$AA$72:$AA$79))*Parameters!$B$37/12</f>
        <v>20825.4183344</v>
      </c>
      <c r="N81" s="46">
        <f>(SUM($AA$18:$AA$29)-SUM($AA$36,$AA$42,$AA$48,$AA$54,$AA$60,$AA$66,$AA$72:$AA$79))*Parameters!$B$37/12</f>
        <v>20825.4183344</v>
      </c>
      <c r="O81" s="46">
        <f>(SUM($AA$18:$AA$29)-SUM($AA$36,$AA$42,$AA$48,$AA$54,$AA$60,$AA$66,$AA$72:$AA$79))*Parameters!$B$37/12</f>
        <v>20825.4183344</v>
      </c>
      <c r="P81" s="46">
        <f>(SUM($AA$18:$AA$29)-SUM($AA$36,$AA$42,$AA$48,$AA$54,$AA$60,$AA$66,$AA$72:$AA$79))*Parameters!$B$37/12</f>
        <v>20825.4183344</v>
      </c>
      <c r="Q81" s="46">
        <f>(SUM($AA$18:$AA$29)-SUM($AA$36,$AA$42,$AA$48,$AA$54,$AA$60,$AA$66,$AA$72:$AA$79))*Parameters!$B$37/12</f>
        <v>20825.4183344</v>
      </c>
      <c r="R81" s="46">
        <f>(SUM($AA$18:$AA$29)-SUM($AA$36,$AA$42,$AA$48,$AA$54,$AA$60,$AA$66,$AA$72:$AA$79))*Parameters!$B$37/12</f>
        <v>20825.4183344</v>
      </c>
      <c r="S81" s="46">
        <f>(SUM($AA$18:$AA$29)-SUM($AA$36,$AA$42,$AA$48,$AA$54,$AA$60,$AA$66,$AA$72:$AA$79))*Parameters!$B$37/12</f>
        <v>20825.4183344</v>
      </c>
      <c r="T81" s="46">
        <f>(SUM($AA$18:$AA$29)-SUM($AA$36,$AA$42,$AA$48,$AA$54,$AA$60,$AA$66,$AA$72:$AA$79))*Parameters!$B$37/12</f>
        <v>20825.4183344</v>
      </c>
      <c r="U81" s="46">
        <f>(SUM($AA$18:$AA$29)-SUM($AA$36,$AA$42,$AA$48,$AA$54,$AA$60,$AA$66,$AA$72:$AA$79))*Parameters!$B$37/12</f>
        <v>20825.4183344</v>
      </c>
      <c r="V81" s="46">
        <f>(SUM($AA$18:$AA$29)-SUM($AA$36,$AA$42,$AA$48,$AA$54,$AA$60,$AA$66,$AA$72:$AA$79))*Parameters!$B$37/12</f>
        <v>20825.4183344</v>
      </c>
      <c r="W81" s="46">
        <f>(SUM($AA$18:$AA$29)-SUM($AA$36,$AA$42,$AA$48,$AA$54,$AA$60,$AA$66,$AA$72:$AA$79))*Parameters!$B$37/12</f>
        <v>20825.4183344</v>
      </c>
      <c r="X81" s="46">
        <f>(SUM($AA$18:$AA$29)-SUM($AA$36,$AA$42,$AA$48,$AA$54,$AA$60,$AA$66,$AA$72:$AA$79))*Parameters!$B$37/12</f>
        <v>20825.4183344</v>
      </c>
      <c r="Y81" s="46">
        <f>(SUM($AA$18:$AA$29)-SUM($AA$36,$AA$42,$AA$48,$AA$54,$AA$60,$AA$66,$AA$72:$AA$79))*Parameters!$B$37/12</f>
        <v>20825.4183344</v>
      </c>
      <c r="Z81" s="46">
        <f>SUMIF($B$13:$Y$13,"Yes",B81:Y81)</f>
        <v>270730.4383472</v>
      </c>
      <c r="AA81" s="46">
        <f>SUM(B81:M81)</f>
        <v>249905.0200128</v>
      </c>
      <c r="AB81" s="46">
        <f>SUM(B81:Y81)</f>
        <v>499810.0400255999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33637.9183344</v>
      </c>
      <c r="C88" s="19">
        <f>SUM(C72:C82,C66,C60,C54,C48,C42,C36)</f>
        <v>38137.9183344</v>
      </c>
      <c r="D88" s="19">
        <f>SUM(D72:D82,D66,D60,D54,D48,D42,D36)</f>
        <v>33637.9183344</v>
      </c>
      <c r="E88" s="19">
        <f>SUM(E72:E82,E66,E60,E54,E48,E42,E36)</f>
        <v>33637.9183344</v>
      </c>
      <c r="F88" s="19">
        <f>SUM(F72:F82,F66,F60,F54,F48,F42,F36)</f>
        <v>33637.9183344</v>
      </c>
      <c r="G88" s="19">
        <f>SUM(G72:G82,G66,G60,G54,G48,G42,G36)</f>
        <v>33637.9183344</v>
      </c>
      <c r="H88" s="19">
        <f>SUM(H72:H82,H66,H60,H54,H48,H42,H36)</f>
        <v>33637.9183344</v>
      </c>
      <c r="I88" s="19">
        <f>SUM(I72:I82,I66,I60,I54,I48,I42,I36)</f>
        <v>38137.9183344</v>
      </c>
      <c r="J88" s="19">
        <f>SUM(J72:J82,J66,J60,J54,J48,J42,J36)</f>
        <v>33637.9183344</v>
      </c>
      <c r="K88" s="19">
        <f>SUM(K72:K82,K66,K60,K54,K48,K42,K36)</f>
        <v>33637.9183344</v>
      </c>
      <c r="L88" s="19">
        <f>SUM(L72:L82,L66,L60,L54,L48,L42,L36)</f>
        <v>33637.9183344</v>
      </c>
      <c r="M88" s="19">
        <f>SUM(M72:M82,M66,M60,M54,M48,M42,M36)</f>
        <v>33637.9183344</v>
      </c>
      <c r="N88" s="19">
        <f>SUM(N72:N82,N66,N60,N54,N48,N42,N36)</f>
        <v>33637.9183344</v>
      </c>
      <c r="O88" s="19">
        <f>SUM(O72:O82,O66,O60,O54,O48,O42,O36)</f>
        <v>38137.9183344</v>
      </c>
      <c r="P88" s="19">
        <f>SUM(P72:P82,P66,P60,P54,P48,P42,P36)</f>
        <v>33637.9183344</v>
      </c>
      <c r="Q88" s="19">
        <f>SUM(Q72:Q82,Q66,Q60,Q54,Q48,Q42,Q36)</f>
        <v>33637.9183344</v>
      </c>
      <c r="R88" s="19">
        <f>SUM(R72:R82,R66,R60,R54,R48,R42,R36)</f>
        <v>33637.9183344</v>
      </c>
      <c r="S88" s="19">
        <f>SUM(S72:S82,S66,S60,S54,S48,S42,S36)</f>
        <v>33637.9183344</v>
      </c>
      <c r="T88" s="19">
        <f>SUM(T72:T82,T66,T60,T54,T48,T42,T36)</f>
        <v>33637.9183344</v>
      </c>
      <c r="U88" s="19">
        <f>SUM(U72:U82,U66,U60,U54,U48,U42,U36)</f>
        <v>38137.9183344</v>
      </c>
      <c r="V88" s="19">
        <f>SUM(V72:V82,V66,V60,V54,V48,V42,V36)</f>
        <v>33637.9183344</v>
      </c>
      <c r="W88" s="19">
        <f>SUM(W72:W82,W66,W60,W54,W48,W42,W36)</f>
        <v>33637.9183344</v>
      </c>
      <c r="X88" s="19">
        <f>SUM(X72:X82,X66,X60,X54,X48,X42,X36)</f>
        <v>33637.9183344</v>
      </c>
      <c r="Y88" s="19">
        <f>SUM(Y72:Y82,Y66,Y60,Y54,Y48,Y42,Y36)</f>
        <v>33637.9183344</v>
      </c>
      <c r="Z88" s="19">
        <f>SUMIF($B$13:$Y$13,"Yes",B88:Y88)</f>
        <v>446292.9383471999</v>
      </c>
      <c r="AA88" s="19">
        <f>SUM(B88:M88)</f>
        <v>412655.0200127999</v>
      </c>
      <c r="AB88" s="19">
        <f>SUM(B88:Y88)</f>
        <v>825310.0400256003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25000</v>
      </c>
    </row>
    <row r="96" spans="1:30">
      <c r="A96" t="s">
        <v>62</v>
      </c>
      <c r="B96" s="36">
        <f>SUMPRODUCT(Inputs!C19:C21,Calculations!O14:O16)</f>
        <v>436000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2531000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0.3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93</v>
      </c>
      <c r="B8" s="16"/>
      <c r="C8" s="143">
        <v>1</v>
      </c>
      <c r="D8" s="16"/>
      <c r="E8" s="147" t="s">
        <v>90</v>
      </c>
      <c r="F8" s="149" t="s">
        <v>94</v>
      </c>
      <c r="G8" s="147"/>
      <c r="H8" s="147" t="s">
        <v>91</v>
      </c>
      <c r="I8" s="147" t="s">
        <v>91</v>
      </c>
      <c r="J8" s="148" t="s">
        <v>92</v>
      </c>
      <c r="K8" s="138"/>
      <c r="L8" s="16"/>
      <c r="M8" s="165">
        <v>10</v>
      </c>
      <c r="N8" s="154">
        <v>0</v>
      </c>
    </row>
    <row r="9" spans="1:48">
      <c r="A9" s="143" t="s">
        <v>95</v>
      </c>
      <c r="B9" s="16"/>
      <c r="C9" s="143">
        <v>0</v>
      </c>
      <c r="D9" s="16"/>
      <c r="E9" s="147" t="s">
        <v>90</v>
      </c>
      <c r="F9" s="149" t="s">
        <v>94</v>
      </c>
      <c r="G9" s="147"/>
      <c r="H9" s="147" t="s">
        <v>96</v>
      </c>
      <c r="I9" s="147" t="s">
        <v>97</v>
      </c>
      <c r="J9" s="148" t="s">
        <v>98</v>
      </c>
      <c r="K9" s="138"/>
      <c r="L9" s="16"/>
      <c r="M9" s="165">
        <v>5</v>
      </c>
      <c r="N9" s="154">
        <v>2</v>
      </c>
    </row>
    <row r="10" spans="1:48">
      <c r="A10" s="143" t="s">
        <v>99</v>
      </c>
      <c r="B10" s="16"/>
      <c r="C10" s="143">
        <v>0</v>
      </c>
      <c r="D10" s="16"/>
      <c r="E10" s="147" t="s">
        <v>90</v>
      </c>
      <c r="F10" s="149" t="s">
        <v>91</v>
      </c>
      <c r="G10" s="147"/>
      <c r="H10" s="147" t="s">
        <v>91</v>
      </c>
      <c r="I10" s="147" t="s">
        <v>91</v>
      </c>
      <c r="J10" s="148" t="s">
        <v>98</v>
      </c>
      <c r="K10" s="138"/>
      <c r="L10" s="16"/>
      <c r="M10" s="165">
        <v>10</v>
      </c>
      <c r="N10" s="154">
        <v>0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 t="s">
        <v>113</v>
      </c>
      <c r="B19" s="20"/>
      <c r="C19" s="142">
        <v>2</v>
      </c>
      <c r="D19" s="145">
        <v>2</v>
      </c>
      <c r="E19" s="20"/>
      <c r="F19" s="145" t="s">
        <v>96</v>
      </c>
      <c r="G19" s="20"/>
      <c r="H19" s="20"/>
      <c r="I19" s="145" t="s">
        <v>114</v>
      </c>
      <c r="J19" s="145">
        <v>5</v>
      </c>
      <c r="K19" s="145"/>
      <c r="L19" s="25"/>
    </row>
    <row r="20" spans="1:48">
      <c r="A20" s="143" t="s">
        <v>115</v>
      </c>
      <c r="B20" s="16"/>
      <c r="C20" s="143">
        <v>3</v>
      </c>
      <c r="D20" s="147"/>
      <c r="E20" s="16"/>
      <c r="F20" s="147" t="s">
        <v>96</v>
      </c>
      <c r="G20" s="16"/>
      <c r="H20" s="16"/>
      <c r="I20" s="147" t="s">
        <v>116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100</v>
      </c>
    </row>
    <row r="27" spans="1:48">
      <c r="A27" s="14" t="s">
        <v>119</v>
      </c>
    </row>
    <row r="29" spans="1:48">
      <c r="A29" s="45" t="s">
        <v>120</v>
      </c>
      <c r="B29" s="156" t="s">
        <v>121</v>
      </c>
    </row>
    <row r="30" spans="1:48">
      <c r="A30" s="44" t="s">
        <v>122</v>
      </c>
      <c r="B30" s="157">
        <v>30000</v>
      </c>
    </row>
    <row r="31" spans="1:48">
      <c r="A31" s="5" t="s">
        <v>123</v>
      </c>
      <c r="B31" s="158">
        <v>10000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130</v>
      </c>
      <c r="B40" s="160" t="s">
        <v>91</v>
      </c>
    </row>
    <row r="41" spans="1:48">
      <c r="A41" s="55" t="s">
        <v>131</v>
      </c>
      <c r="B41" s="140">
        <v>0</v>
      </c>
    </row>
    <row r="42" spans="1:48">
      <c r="A42" s="55" t="s">
        <v>132</v>
      </c>
      <c r="B42" s="139" t="s">
        <v>133</v>
      </c>
    </row>
    <row r="43" spans="1:48">
      <c r="A43" s="55" t="s">
        <v>134</v>
      </c>
      <c r="B43" s="160" t="s">
        <v>135</v>
      </c>
    </row>
    <row r="44" spans="1:48">
      <c r="A44" s="56" t="s">
        <v>136</v>
      </c>
      <c r="B44" s="160" t="s">
        <v>96</v>
      </c>
    </row>
    <row r="45" spans="1:48">
      <c r="A45" s="56" t="s">
        <v>137</v>
      </c>
      <c r="B45" s="161">
        <v>500000</v>
      </c>
    </row>
    <row r="46" spans="1:48" customHeight="1" ht="30">
      <c r="A46" s="57" t="s">
        <v>138</v>
      </c>
      <c r="B46" s="161">
        <v>50000</v>
      </c>
    </row>
    <row r="47" spans="1:48" customHeight="1" ht="30">
      <c r="A47" s="57" t="s">
        <v>139</v>
      </c>
      <c r="B47" s="161">
        <v>25000</v>
      </c>
    </row>
    <row r="48" spans="1:48" customHeight="1" ht="30">
      <c r="A48" s="57" t="s">
        <v>140</v>
      </c>
      <c r="B48" s="161">
        <v>1500000</v>
      </c>
    </row>
    <row r="49" spans="1:48" customHeight="1" ht="30">
      <c r="A49" s="57" t="s">
        <v>141</v>
      </c>
      <c r="B49" s="161">
        <v>20000</v>
      </c>
    </row>
    <row r="50" spans="1:48">
      <c r="A50" s="43"/>
      <c r="B50" s="36"/>
    </row>
    <row r="51" spans="1:48">
      <c r="A51" s="58" t="s">
        <v>142</v>
      </c>
      <c r="B51" s="161">
        <v>0</v>
      </c>
    </row>
    <row r="52" spans="1:48">
      <c r="A52" s="43"/>
    </row>
    <row r="53" spans="1:48">
      <c r="A53" s="3" t="s">
        <v>143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144</v>
      </c>
      <c r="B55" s="10" t="s">
        <v>145</v>
      </c>
      <c r="C55" s="10" t="s">
        <v>146</v>
      </c>
      <c r="D55" s="10" t="s">
        <v>147</v>
      </c>
      <c r="E55" s="10" t="s">
        <v>148</v>
      </c>
      <c r="F55" s="10" t="s">
        <v>149</v>
      </c>
    </row>
    <row r="56" spans="1:48">
      <c r="A56" s="159">
        <v>35000</v>
      </c>
      <c r="B56" s="159">
        <v>0</v>
      </c>
      <c r="C56" s="162" t="s">
        <v>150</v>
      </c>
      <c r="D56" s="163" t="s">
        <v>151</v>
      </c>
      <c r="E56" s="163" t="s">
        <v>96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153</v>
      </c>
      <c r="C65" s="10" t="s">
        <v>154</v>
      </c>
    </row>
    <row r="66" spans="1:48">
      <c r="A66" s="142" t="s">
        <v>155</v>
      </c>
      <c r="B66" s="159">
        <v>36830</v>
      </c>
      <c r="C66" s="163">
        <v>35000</v>
      </c>
      <c r="D66" s="49">
        <f>INDEX(Parameters!$D$79:$D$90,MATCH(Inputs!A66,Parameters!$C$79:$C$90,0))</f>
        <v>7</v>
      </c>
    </row>
    <row r="67" spans="1:48">
      <c r="A67" s="143" t="s">
        <v>156</v>
      </c>
      <c r="B67" s="157">
        <v>13300</v>
      </c>
      <c r="C67" s="165">
        <v>15780</v>
      </c>
      <c r="D67" s="49">
        <f>INDEX(Parameters!$D$79:$D$90,MATCH(Inputs!A67,Parameters!$C$79:$C$90,0))</f>
        <v>8</v>
      </c>
    </row>
    <row r="68" spans="1:48">
      <c r="A68" s="143" t="s">
        <v>157</v>
      </c>
      <c r="B68" s="157">
        <v>31270</v>
      </c>
      <c r="C68" s="165">
        <v>26570</v>
      </c>
      <c r="D68" s="49">
        <f>INDEX(Parameters!$D$79:$D$90,MATCH(Inputs!A68,Parameters!$C$79:$C$90,0))</f>
        <v>9</v>
      </c>
    </row>
    <row r="69" spans="1:48">
      <c r="A69" s="143" t="s">
        <v>158</v>
      </c>
      <c r="B69" s="157">
        <v>27210</v>
      </c>
      <c r="C69" s="165">
        <v>30590</v>
      </c>
      <c r="D69" s="49">
        <f>INDEX(Parameters!$D$79:$D$90,MATCH(Inputs!A69,Parameters!$C$79:$C$90,0))</f>
        <v>10</v>
      </c>
    </row>
    <row r="70" spans="1:48">
      <c r="A70" s="143" t="s">
        <v>159</v>
      </c>
      <c r="B70" s="157">
        <v>20015</v>
      </c>
      <c r="C70" s="165">
        <v>18580</v>
      </c>
      <c r="D70" s="49">
        <f>INDEX(Parameters!$D$79:$D$90,MATCH(Inputs!A70,Parameters!$C$79:$C$90,0))</f>
        <v>11</v>
      </c>
    </row>
    <row r="71" spans="1:48">
      <c r="A71" s="144" t="s">
        <v>160</v>
      </c>
      <c r="B71" s="158">
        <v>31825</v>
      </c>
      <c r="C71" s="167">
        <v>20800</v>
      </c>
      <c r="D71" s="49">
        <f>INDEX(Parameters!$D$79:$D$90,MATCH(Inputs!A71,Parameters!$C$79:$C$90,0))</f>
        <v>12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12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100000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12</v>
      </c>
    </row>
    <row r="86" spans="1:48">
      <c r="A86" t="s">
        <v>175</v>
      </c>
      <c r="B86" s="161"/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43132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0.3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5287.8112</v>
      </c>
      <c r="M4" s="25">
        <f>L4*H4</f>
        <v>1586.34336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31647.550032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43132</v>
      </c>
      <c r="C5" s="39">
        <f>IFERROR(DATE(YEAR(B5),MONTH(B5)+ROUND(T5/2,0),DAY(B5)),B5)</f>
        <v>43191</v>
      </c>
      <c r="D5" s="39">
        <f>IFERROR(DATE(YEAR(B5),MONTH(B5)+T5,DAY(B5)),"")</f>
        <v>43252</v>
      </c>
      <c r="E5" s="39">
        <f>IFERROR(IF($S5=0,"",IF($S5=2,DATE(YEAR(B5),MONTH(B5)+6,DAY(B5)),IF($S5=1,B5,""))),"")</f>
        <v>43313</v>
      </c>
      <c r="F5" s="39">
        <f>IFERROR(IF($S5=0,"",IF($S5=2,DATE(YEAR(C5),MONTH(C5)+6,DAY(C5)),IF($S5=1,C5,""))),"")</f>
        <v>43374</v>
      </c>
      <c r="G5" s="39">
        <f>IFERROR(IF($S5=0,"",IF($S5=2,DATE(YEAR(D5),MONTH(D5)+6,DAY(D5)),IF($S5=1,D5,""))),"")</f>
        <v>43435</v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150</v>
      </c>
      <c r="M5" s="30">
        <f>L5*H5</f>
        <v>150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6615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Maize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43160</v>
      </c>
      <c r="C6" s="39">
        <f>IFERROR(DATE(YEAR(B6),MONTH(B6)+ROUND(T6/2,0),DAY(B6)),B6)</f>
        <v>43221</v>
      </c>
      <c r="D6" s="39">
        <f>IFERROR(DATE(YEAR(B6),MONTH(B6)+T6,DAY(B6)),"")</f>
        <v>43282</v>
      </c>
      <c r="E6" s="39">
        <f>IFERROR(IF($S6=0,"",IF($S6=2,DATE(YEAR(B6),MONTH(B6)+6,DAY(B6)),IF($S6=1,B6,""))),"")</f>
        <v>43344</v>
      </c>
      <c r="F6" s="39">
        <f>IFERROR(IF($S6=0,"",IF($S6=2,DATE(YEAR(C6),MONTH(C6)+6,DAY(C6)),IF($S6=1,C6,""))),"")</f>
        <v>43405</v>
      </c>
      <c r="G6" s="39">
        <f>IFERROR(IF($S6=0,"",IF($S6=2,DATE(YEAR(D6),MONTH(D6)+6,DAY(D6)),IF($S6=1,D6,""))),"")</f>
        <v>43466</v>
      </c>
      <c r="H6" s="16">
        <f>Inputs!C9</f>
        <v>0</v>
      </c>
      <c r="I6" s="138" t="str">
        <f>IFERROR(VLOOKUP(Inputs!E9,Parameters!$J$77:$K$81,2,0),"")</f>
        <v>No</v>
      </c>
      <c r="J6" s="27" t="str">
        <f>IFERROR(Inputs!G9/Calculations!H6,"")</f>
        <v/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1050.922513700219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0.2</v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Tomatoes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43160</v>
      </c>
      <c r="C7" s="39">
        <f>IFERROR(DATE(YEAR(B7),MONTH(B7)+ROUND(T7/2,0),DAY(B7)),B7)</f>
        <v>43221</v>
      </c>
      <c r="D7" s="39">
        <f>IFERROR(DATE(YEAR(B7),MONTH(B7)+T7,DAY(B7)),"")</f>
        <v>43252</v>
      </c>
      <c r="E7" s="39">
        <f>IFERROR(IF($S7=0,"",IF($S7=2,DATE(YEAR(B7),MONTH(B7)+6,DAY(B7)),IF($S7=1,B7,""))),"")</f>
        <v>43344</v>
      </c>
      <c r="F7" s="39">
        <f>IFERROR(IF($S7=0,"",IF($S7=2,DATE(YEAR(C7),MONTH(C7)+6,DAY(C7)),IF($S7=1,C7,""))),"")</f>
        <v>43405</v>
      </c>
      <c r="G7" s="39">
        <f>IFERROR(IF($S7=0,"",IF($S7=2,DATE(YEAR(D7),MONTH(D7)+6,DAY(D7)),IF($S7=1,D7,""))),"")</f>
        <v>43435</v>
      </c>
      <c r="H7" s="16">
        <f>Inputs!C10</f>
        <v>0</v>
      </c>
      <c r="I7" s="138" t="str">
        <f>IFERROR(VLOOKUP(Inputs!E10,Parameters!$J$77:$K$81,2,0),"")</f>
        <v>No</v>
      </c>
      <c r="J7" s="27" t="str">
        <f>IFERROR(Inputs!G10/Calculations!H7,"")</f>
        <v/>
      </c>
      <c r="K7" s="27">
        <f>IFERROR(INDEX(Parameters!$A$3:$V$17,MATCH(Calculations!$A7,Parameters!$A$3:$A$17,0),MATCH(Parameters!$I$3,Parameters!$A$3:$V$3,0)),0)</f>
        <v>120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289.8945313359586</v>
      </c>
      <c r="M7" s="30">
        <f>L7*H7</f>
        <v>0</v>
      </c>
      <c r="N7" s="22">
        <f>Calculations!U7</f>
        <v>0.1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35</v>
      </c>
      <c r="P7" s="22">
        <f>IFERROR(INDEX(Parameters!$A$3:$V$17,MATCH(Calculations!$A7,Parameters!$A$3:$A$17,0),MATCH($P$3,Parameters!$A$3:$V$3,0)),0)</f>
        <v>0</v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2</v>
      </c>
      <c r="T7" s="30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3</v>
      </c>
      <c r="U7" s="22">
        <f>Inputs!M10/100</f>
        <v>0.1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3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</v>
      </c>
      <c r="H15" s="121">
        <f>IFERROR(IF(B15="meat",INDEX(Parameters!$A$22:$P$29,MATCH(Calculations!A15,Parameters!$A$22:$A$29,0),MATCH(Parameters!$I$22,Parameters!$A$22:$P$22,0))*G15,""),"")</f>
        <v>16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6000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600</v>
      </c>
      <c r="S15" s="64">
        <f>IFERROR(D15*INDEX(Parameters!$A$22:$P$29,MATCH(Calculations!$A15,Parameters!$A$22:$A$29,0),MATCH(Parameters!$N$22,Parameters!$A$22:$P$22,0)),"")</f>
        <v>900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144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35000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43147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43132</v>
      </c>
      <c r="F33" t="s">
        <v>166</v>
      </c>
      <c r="G33" s="128">
        <f>IF(Inputs!B79="","",DATE(YEAR(Inputs!B79),MONTH(Inputs!B79),DAY(Inputs!B79)))</f>
        <v>43112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43175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43160</v>
      </c>
      <c r="F34" t="s">
        <v>167</v>
      </c>
      <c r="G34" s="128">
        <f>IF(Inputs!B80="","",DATE(YEAR(Inputs!B80),MONTH(Inputs!B80),DAY(Inputs!B80)))</f>
        <v>43147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43206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43191</v>
      </c>
      <c r="F35" t="s">
        <v>169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43236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43221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43267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43252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43297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43282</v>
      </c>
      <c r="F38" t="s">
        <v>232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43328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43313</v>
      </c>
      <c r="F39" t="s">
        <v>175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43359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43344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43389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43374</v>
      </c>
      <c r="F41" t="s">
        <v>233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43420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43405</v>
      </c>
      <c r="F42" t="s">
        <v>234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43450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43481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207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113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300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115</v>
      </c>
      <c r="B27" s="71" t="s">
        <v>300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300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300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101</v>
      </c>
      <c r="B41" s="191" t="s">
        <v>91</v>
      </c>
      <c r="C41" s="191" t="s">
        <v>96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113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115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316</v>
      </c>
      <c r="H52" s="12" t="s">
        <v>135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235</v>
      </c>
      <c r="E53" s="10" t="s">
        <v>194</v>
      </c>
      <c r="F53" s="10" t="s">
        <v>254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172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231</v>
      </c>
      <c r="J76" s="11" t="s">
        <v>350</v>
      </c>
      <c r="K76" s="11" t="s">
        <v>184</v>
      </c>
      <c r="AJ76" s="12"/>
    </row>
    <row r="77" spans="1:36">
      <c r="A77" t="s">
        <v>96</v>
      </c>
      <c r="B77" s="176">
        <v>0</v>
      </c>
      <c r="C77" s="12" t="s">
        <v>351</v>
      </c>
      <c r="E77" s="12" t="s">
        <v>91</v>
      </c>
      <c r="F77" s="12" t="s">
        <v>91</v>
      </c>
      <c r="G77" s="12" t="s">
        <v>116</v>
      </c>
      <c r="H77" s="12" t="s">
        <v>135</v>
      </c>
      <c r="I77" s="12" t="s">
        <v>352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353</v>
      </c>
      <c r="D78" s="133"/>
      <c r="E78" s="12" t="s">
        <v>94</v>
      </c>
      <c r="F78" s="12" t="s">
        <v>97</v>
      </c>
      <c r="G78" s="12" t="s">
        <v>114</v>
      </c>
      <c r="H78" s="12" t="s">
        <v>317</v>
      </c>
      <c r="I78" s="12" t="s">
        <v>354</v>
      </c>
      <c r="J78" s="70" t="s">
        <v>355</v>
      </c>
      <c r="K78" s="12" t="s">
        <v>91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172</v>
      </c>
      <c r="J79" s="70" t="s">
        <v>360</v>
      </c>
      <c r="K79" s="12" t="s">
        <v>91</v>
      </c>
      <c r="AJ79" s="12"/>
    </row>
    <row r="80" spans="1:36">
      <c r="B80" s="176">
        <v>20</v>
      </c>
      <c r="C80" s="12" t="s">
        <v>92</v>
      </c>
      <c r="D80" s="12">
        <f>D79+1</f>
        <v>2</v>
      </c>
      <c r="E80" s="12" t="s">
        <v>361</v>
      </c>
      <c r="F80" s="12" t="s">
        <v>362</v>
      </c>
      <c r="J80" s="70" t="s">
        <v>363</v>
      </c>
      <c r="K80" s="12" t="s">
        <v>96</v>
      </c>
      <c r="AJ80" s="12"/>
    </row>
    <row r="81" spans="1:36">
      <c r="B81" s="176">
        <v>30</v>
      </c>
      <c r="C81" s="12" t="s">
        <v>98</v>
      </c>
      <c r="D81" s="12">
        <f>D80+1</f>
        <v>3</v>
      </c>
      <c r="J81" s="70" t="s">
        <v>364</v>
      </c>
      <c r="K81" s="12" t="s">
        <v>96</v>
      </c>
    </row>
    <row r="82" spans="1:36">
      <c r="B82" s="176">
        <v>40</v>
      </c>
      <c r="C82" s="12" t="s">
        <v>133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157</v>
      </c>
      <c r="D87" s="12">
        <f>D86+1</f>
        <v>9</v>
      </c>
    </row>
    <row r="88" spans="1:36">
      <c r="B88" s="176">
        <v>99.99999999999999</v>
      </c>
      <c r="C88" s="12" t="s">
        <v>158</v>
      </c>
      <c r="D88" s="12">
        <f>D87+1</f>
        <v>10</v>
      </c>
    </row>
    <row r="89" spans="1:36">
      <c r="C89" s="12" t="s">
        <v>159</v>
      </c>
      <c r="D89" s="12">
        <f>D88+1</f>
        <v>11</v>
      </c>
    </row>
    <row r="90" spans="1:36">
      <c r="C90" s="12" t="s">
        <v>160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