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<sst xmlns="http://schemas.openxmlformats.org/spreadsheetml/2006/main" uniqueCount="373">
  <si>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</si>
  <si>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</si>
  <si>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</si>
  <si>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</si>
  <si>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</si>
  <si>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</si>
  <si>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</si>
  <si>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</si>
  <si>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</si>
  <si>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</si>
  <si>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</si>
  <si>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</si>
  <si>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</si>
  <si>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</si>
  <si>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</si>
  <si>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</si>
  <si>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</si>
  <si>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</si>
  <si>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</si>
  <si>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</si>
  <si>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</si>
  <si>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</si>
  <si>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</si>
  <si>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</si>
  <si>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</si>
  <si>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</si>
  <si>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</si>
  <si>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</si>
  <si>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</si>
  <si>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</si>
  <si>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</si>
  <si>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</si>
  <si>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</si>
  <si>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</si>
  <si>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</si>
  <si>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</si>
  <si>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</si>
  <si>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</si>
  <si>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</si>
  <si>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</si>
  <si>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</si>
  <si>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</si>
  <si>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</si>
  <si>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</si>
  <si>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</si>
  <si>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</si>
  <si>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</si>
  <si>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</si>
  <si>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</si>
  <si>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</si>
  <si>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</si>
  <si>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</si>
  <si>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</si>
  <si>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</si>
  <si>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</si>
  <si>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</si>
  <si>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</si>
  <si>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</si>
  <si>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</si>
  <si>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</si>
  <si>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</si>
  <si>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</si>
  <si>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</si>
  <si>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</si>
  <si>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</si>
  <si>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</si>
  <si>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</si>
  <si>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</si>
  <si>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</si>
  <si>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</si>
  <si>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</si>
  <si>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</si>
  <si>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</si>
  <si>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</si>
  <si>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</si>
  <si>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</si>
  <si>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</si>
  <si>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</si>
  <si>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</si>
  <si>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</si>
  <si>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</si>
  <si>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</si>
  <si>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</si>
  <si>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</si>
  <si>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</si>
  <si>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</si>
  <si>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</si>
  <si>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</si>
  <si>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</si>
  <si>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</si>
  <si>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</si>
  <si>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Inorganic fertizers</t>
  </si>
  <si>
    <t>Yes</t>
  </si>
  <si>
    <t>No</t>
  </si>
  <si>
    <t>January</t>
  </si>
  <si>
    <t>Wheat</t>
  </si>
  <si>
    <t>Shop_certified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</si>
  <si>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</si>
  <si>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</si>
  <si>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</si>
  <si>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</si>
  <si>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</si>
  <si>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</si>
  <si>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</si>
  <si>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</si>
  <si>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</si>
  <si>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</si>
  <si>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</si>
  <si>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</si>
  <si>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</si>
  <si>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</si>
  <si>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</si>
  <si>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</si>
  <si>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</si>
  <si>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</si>
  <si>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</si>
  <si>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</si>
  <si>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timber sale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</si>
  <si>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</si>
  <si>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</si>
  <si>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</si>
  <si>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</si>
  <si>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</si>
  <si>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</si>
  <si>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</si>
  <si>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</si>
  <si>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</si>
  <si>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</si>
  <si>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</si>
  <si>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</si>
  <si>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</si>
  <si>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</si>
  <si>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</si>
  <si>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</si>
  <si>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</si>
  <si>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</si>
  <si>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</si>
  <si>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</si>
  <si>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</si>
  <si>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</si>
  <si>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</si>
  <si>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</si>
  <si>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</si>
  <si>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</si>
  <si>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</si>
  <si>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6/15/2016</t>
  </si>
  <si>
    <t xml:space="preserve">Musoni </t>
  </si>
  <si>
    <t xml:space="preserve">TRP 100 % </t>
  </si>
  <si>
    <t>2/7/2017</t>
  </si>
  <si>
    <t>6/15/2015</t>
  </si>
  <si>
    <t xml:space="preserve">Mobile money </t>
  </si>
  <si>
    <t>listed but has cleared with CRB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</si>
  <si>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</si>
  <si>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</si>
  <si>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</si>
  <si>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</si>
  <si>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</si>
  <si>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</si>
  <si>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</si>
  <si>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</si>
  <si>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</si>
  <si>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</si>
  <si>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</si>
  <si>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</si>
  <si>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2018/1/12</t>
  </si>
  <si>
    <t>Loan terms</t>
  </si>
  <si>
    <t>Expected disbursement date</t>
  </si>
  <si>
    <t>Expected first repayment date</t>
  </si>
  <si>
    <t>2018/2/12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</si>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</sst>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timber sale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0.3083329017503916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0.02798353909465021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908775.0372501969</v>
      </c>
    </row>
    <row r="18" spans="1:7">
      <c r="B18" s="1" t="s">
        <v>12</v>
      </c>
      <c r="C18" s="36">
        <f>MIN(Output!B6:M6)</f>
        <v>-92645.83540278871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456833.4611862683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100166.6666666667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-41205.83540278871</v>
      </c>
      <c r="C6" s="51">
        <f>C30-C88</f>
        <v>3354.164597211304</v>
      </c>
      <c r="D6" s="51">
        <f>D30-D88</f>
        <v>3354.164597211304</v>
      </c>
      <c r="E6" s="51">
        <f>E30-E88</f>
        <v>-92645.83540278871</v>
      </c>
      <c r="F6" s="51">
        <f>F30-F88</f>
        <v>3354.164597211304</v>
      </c>
      <c r="G6" s="51">
        <f>G30-G88</f>
        <v>440033.4611862683</v>
      </c>
      <c r="H6" s="51">
        <f>H30-H88</f>
        <v>14195.7050756753</v>
      </c>
      <c r="I6" s="51">
        <f>I30-I88</f>
        <v>151039.0930242947</v>
      </c>
      <c r="J6" s="51">
        <f>J30-J88</f>
        <v>20154.1645972113</v>
      </c>
      <c r="K6" s="51">
        <f>K30-K88</f>
        <v>-69845.83540278871</v>
      </c>
      <c r="L6" s="51">
        <f>L30-L88</f>
        <v>20154.1645972113</v>
      </c>
      <c r="M6" s="51">
        <f>M30-M88</f>
        <v>456833.4611862683</v>
      </c>
      <c r="N6" s="51">
        <f>N30-N88</f>
        <v>-41205.83540278871</v>
      </c>
      <c r="O6" s="51">
        <f>O30-O88</f>
        <v>3354.164597211304</v>
      </c>
      <c r="P6" s="51">
        <f>P30-P88</f>
        <v>3354.164597211304</v>
      </c>
      <c r="Q6" s="51">
        <f>Q30-Q88</f>
        <v>-92645.83540278871</v>
      </c>
      <c r="R6" s="51">
        <f>R30-R88</f>
        <v>3354.164597211304</v>
      </c>
      <c r="S6" s="51">
        <f>S30-S88</f>
        <v>440033.4611862683</v>
      </c>
      <c r="T6" s="51">
        <f>T30-T88</f>
        <v>14195.7050756753</v>
      </c>
      <c r="U6" s="51">
        <f>U30-U88</f>
        <v>151039.0930242947</v>
      </c>
      <c r="V6" s="51">
        <f>V30-V88</f>
        <v>20154.1645972113</v>
      </c>
      <c r="W6" s="51">
        <f>W30-W88</f>
        <v>-69845.83540278871</v>
      </c>
      <c r="X6" s="51">
        <f>X30-X88</f>
        <v>20154.1645972113</v>
      </c>
      <c r="Y6" s="51">
        <f>Y30-Y88</f>
        <v>456833.4611862683</v>
      </c>
      <c r="Z6" s="51">
        <f>SUMIF($B$13:$Y$13,"Yes",B6:Y6)</f>
        <v>867569.2018474082</v>
      </c>
      <c r="AA6" s="51">
        <f>AA30-AA88</f>
        <v>908775.0372501975</v>
      </c>
      <c r="AB6" s="51">
        <f>AB30-AB88</f>
        <v>1817550.074500396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430226</v>
      </c>
      <c r="I7" s="80">
        <f>IF(ISERROR(VLOOKUP(MONTH(I5),Inputs!$D$66:$D$71,1,0)),"",INDEX(Inputs!$B$66:$B$71,MATCH(MONTH(Output!I5),Inputs!$D$66:$D$71,0))-INDEX(Inputs!$C$66:$C$71,MATCH(MONTH(Output!I5),Inputs!$D$66:$D$71,0)))</f>
        <v>46710</v>
      </c>
      <c r="J7" s="80">
        <f>IF(ISERROR(VLOOKUP(MONTH(J5),Inputs!$D$66:$D$71,1,0)),"",INDEX(Inputs!$B$66:$B$71,MATCH(MONTH(Output!J5),Inputs!$D$66:$D$71,0))-INDEX(Inputs!$C$66:$C$71,MATCH(MONTH(Output!J5),Inputs!$D$66:$D$71,0)))</f>
        <v>108111</v>
      </c>
      <c r="K7" s="80">
        <f>IF(ISERROR(VLOOKUP(MONTH(K5),Inputs!$D$66:$D$71,1,0)),"",INDEX(Inputs!$B$66:$B$71,MATCH(MONTH(Output!K5),Inputs!$D$66:$D$71,0))-INDEX(Inputs!$C$66:$C$71,MATCH(MONTH(Output!K5),Inputs!$D$66:$D$71,0)))</f>
        <v>37610</v>
      </c>
      <c r="L7" s="80">
        <f>IF(ISERROR(VLOOKUP(MONTH(L5),Inputs!$D$66:$D$71,1,0)),"",INDEX(Inputs!$B$66:$B$71,MATCH(MONTH(Output!L5),Inputs!$D$66:$D$71,0))-INDEX(Inputs!$C$66:$C$71,MATCH(MONTH(Output!L5),Inputs!$D$66:$D$71,0)))</f>
        <v>54174</v>
      </c>
      <c r="M7" s="80">
        <f>IF(ISERROR(VLOOKUP(MONTH(M5),Inputs!$D$66:$D$71,1,0)),"",INDEX(Inputs!$B$66:$B$71,MATCH(MONTH(Output!M5),Inputs!$D$66:$D$71,0))-INDEX(Inputs!$C$66:$C$71,MATCH(MONTH(Output!M5),Inputs!$D$66:$D$71,0)))</f>
        <v>60360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430226</v>
      </c>
      <c r="U7" s="80">
        <f>IF(ISERROR(VLOOKUP(MONTH(U5),Inputs!$D$66:$D$71,1,0)),"",INDEX(Inputs!$B$66:$B$71,MATCH(MONTH(Output!U5),Inputs!$D$66:$D$71,0))-INDEX(Inputs!$C$66:$C$71,MATCH(MONTH(Output!U5),Inputs!$D$66:$D$71,0)))</f>
        <v>46710</v>
      </c>
      <c r="V7" s="80">
        <f>IF(ISERROR(VLOOKUP(MONTH(V5),Inputs!$D$66:$D$71,1,0)),"",INDEX(Inputs!$B$66:$B$71,MATCH(MONTH(Output!V5),Inputs!$D$66:$D$71,0))-INDEX(Inputs!$C$66:$C$71,MATCH(MONTH(Output!V5),Inputs!$D$66:$D$71,0)))</f>
        <v>108111</v>
      </c>
      <c r="W7" s="80">
        <f>IF(ISERROR(VLOOKUP(MONTH(W5),Inputs!$D$66:$D$71,1,0)),"",INDEX(Inputs!$B$66:$B$71,MATCH(MONTH(Output!W5),Inputs!$D$66:$D$71,0))-INDEX(Inputs!$C$66:$C$71,MATCH(MONTH(Output!W5),Inputs!$D$66:$D$71,0)))</f>
        <v>37610</v>
      </c>
      <c r="X7" s="80">
        <f>IF(ISERROR(VLOOKUP(MONTH(X5),Inputs!$D$66:$D$71,1,0)),"",INDEX(Inputs!$B$66:$B$71,MATCH(MONTH(Output!X5),Inputs!$D$66:$D$71,0))-INDEX(Inputs!$C$66:$C$71,MATCH(MONTH(Output!X5),Inputs!$D$66:$D$71,0)))</f>
        <v>54174</v>
      </c>
      <c r="Y7" s="80">
        <f>IF(ISERROR(VLOOKUP(MONTH(Y5),Inputs!$D$66:$D$71,1,0)),"",INDEX(Inputs!$B$66:$B$71,MATCH(MONTH(Output!Y5),Inputs!$D$66:$D$71,0))-INDEX(Inputs!$C$66:$C$71,MATCH(MONTH(Output!Y5),Inputs!$D$66:$D$71,0)))</f>
        <v>60360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258794.1645972113</v>
      </c>
      <c r="C11" s="80">
        <f>C6+C9-C10</f>
        <v>-26645.8354027887</v>
      </c>
      <c r="D11" s="80">
        <f>D6+D9-D10</f>
        <v>-26645.8354027887</v>
      </c>
      <c r="E11" s="80">
        <f>E6+E9-E10</f>
        <v>-122645.8354027887</v>
      </c>
      <c r="F11" s="80">
        <f>F6+F9-F10</f>
        <v>-26645.8354027887</v>
      </c>
      <c r="G11" s="80">
        <f>G6+G9-G10</f>
        <v>410033.4611862683</v>
      </c>
      <c r="H11" s="80">
        <f>H6+H9-H10</f>
        <v>-15804.2949243247</v>
      </c>
      <c r="I11" s="80">
        <f>I6+I9-I10</f>
        <v>121039.0930242947</v>
      </c>
      <c r="J11" s="80">
        <f>J6+J9-J10</f>
        <v>-9845.835402788696</v>
      </c>
      <c r="K11" s="80">
        <f>K6+K9-K10</f>
        <v>-99845.83540278871</v>
      </c>
      <c r="L11" s="80">
        <f>L6+L9-L10</f>
        <v>-9845.835402788696</v>
      </c>
      <c r="M11" s="80">
        <f>M6+M9-M10</f>
        <v>426833.4611862683</v>
      </c>
      <c r="N11" s="80">
        <f>N6+N9-N10</f>
        <v>-71205.83540278871</v>
      </c>
      <c r="O11" s="80">
        <f>O6+O9-O10</f>
        <v>3354.164597211304</v>
      </c>
      <c r="P11" s="80">
        <f>P6+P9-P10</f>
        <v>3354.164597211304</v>
      </c>
      <c r="Q11" s="80">
        <f>Q6+Q9-Q10</f>
        <v>-92645.83540278871</v>
      </c>
      <c r="R11" s="80">
        <f>R6+R9-R10</f>
        <v>3354.164597211304</v>
      </c>
      <c r="S11" s="80">
        <f>S6+S9-S10</f>
        <v>440033.4611862683</v>
      </c>
      <c r="T11" s="80">
        <f>T6+T9-T10</f>
        <v>14195.7050756753</v>
      </c>
      <c r="U11" s="80">
        <f>U6+U9-U10</f>
        <v>151039.0930242947</v>
      </c>
      <c r="V11" s="80">
        <f>V6+V9-V10</f>
        <v>20154.1645972113</v>
      </c>
      <c r="W11" s="80">
        <f>W6+W9-W10</f>
        <v>-69845.83540278871</v>
      </c>
      <c r="X11" s="80">
        <f>X6+X9-X10</f>
        <v>20154.1645972113</v>
      </c>
      <c r="Y11" s="80">
        <f>Y6+Y9-Y10</f>
        <v>456833.4611862683</v>
      </c>
      <c r="Z11" s="85">
        <f>SUMIF($B$13:$Y$13,"Yes",B11:Y11)</f>
        <v>807569.2018474081</v>
      </c>
      <c r="AA11" s="80">
        <f>SUM(B11:M11)</f>
        <v>878775.0372501968</v>
      </c>
      <c r="AB11" s="46">
        <f>SUM(B11:Y11)</f>
        <v>1757550.074500394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0.1144390280578537</v>
      </c>
      <c r="D12" s="82">
        <f>IF(D13="Yes",IF(SUM($B$10:D10)/(SUM($B$6:D6)+SUM($B$9:D9))&lt;0,999.99,SUM($B$10:D10)/(SUM($B$6:D6)+SUM($B$9:D9))),"")</f>
        <v>0.2259865779154901</v>
      </c>
      <c r="E12" s="82">
        <f>IF(E13="Yes",IF(SUM($B$10:E10)/(SUM($B$6:E6)+SUM($B$9:E9))&lt;0,999.99,SUM($B$10:E10)/(SUM($B$6:E6)+SUM($B$9:E9))),"")</f>
        <v>0.5206626162906773</v>
      </c>
      <c r="F12" s="82">
        <f>IF(F13="Yes",IF(SUM($B$10:F10)/(SUM($B$6:F6)+SUM($B$9:F9))&lt;0,999.99,SUM($B$10:F10)/(SUM($B$6:F6)+SUM($B$9:F9))),"")</f>
        <v>0.6810024376850879</v>
      </c>
      <c r="G12" s="82">
        <f>IF(G13="Yes",IF(SUM($B$10:G10)/(SUM($B$6:G6)+SUM($B$9:G9))&lt;0,999.99,SUM($B$10:G10)/(SUM($B$6:G6)+SUM($B$9:G9))),"")</f>
        <v>0.2434099655812052</v>
      </c>
      <c r="H12" s="82">
        <f>IF(H13="Yes",IF(SUM($B$10:H10)/(SUM($B$6:H6)+SUM($B$9:H9))&lt;0,999.99,SUM($B$10:H10)/(SUM($B$6:H6)+SUM($B$9:H9))),"")</f>
        <v>0.2855148833669438</v>
      </c>
      <c r="I12" s="82">
        <f>IF(I13="Yes",IF(SUM($B$10:I10)/(SUM($B$6:I6)+SUM($B$9:I9))&lt;0,999.99,SUM($B$10:I10)/(SUM($B$6:I6)+SUM($B$9:I9))),"")</f>
        <v>0.268721204142005</v>
      </c>
      <c r="J12" s="82">
        <f>IF(J13="Yes",IF(SUM($B$10:J10)/(SUM($B$6:J6)+SUM($B$9:J9))&lt;0,999.99,SUM($B$10:J10)/(SUM($B$6:J6)+SUM($B$9:J9))),"")</f>
        <v>0.299388780264834</v>
      </c>
      <c r="K12" s="82">
        <f>IF(K13="Yes",IF(SUM($B$10:K10)/(SUM($B$6:K6)+SUM($B$9:K9))&lt;0,999.99,SUM($B$10:K10)/(SUM($B$6:K6)+SUM($B$9:K9))),"")</f>
        <v>0.3689596128182098</v>
      </c>
      <c r="L12" s="82">
        <f>IF(L13="Yes",IF(SUM($B$10:L10)/(SUM($B$6:L6)+SUM($B$9:L9))&lt;0,999.99,SUM($B$10:L10)/(SUM($B$6:L6)+SUM($B$9:L9))),"")</f>
        <v>0.3989671665322235</v>
      </c>
      <c r="M12" s="82">
        <f>IF(M13="Yes",IF(SUM($B$10:M10)/(SUM($B$6:M6)+SUM($B$9:M9))&lt;0,999.99,SUM($B$10:M10)/(SUM($B$6:M6)+SUM($B$9:M9))),"")</f>
        <v>0.2730036523178922</v>
      </c>
      <c r="N12" s="82">
        <f>IF(N13="Yes",IF(SUM($B$10:N10)/(SUM($B$6:N6)+SUM($B$9:N9))&lt;0,999.99,SUM($B$10:N10)/(SUM($B$6:N6)+SUM($B$9:N9))),"")</f>
        <v>0.3083329017503916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109070.7736892362</v>
      </c>
      <c r="I18" s="36">
        <f>U18</f>
        <v>130884.9284270834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109070.7736892362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130884.9284270834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239955.7021163196</v>
      </c>
      <c r="AA18" s="36">
        <f>SUM(B18:M18)</f>
        <v>239955.7021163196</v>
      </c>
      <c r="AB18" s="36">
        <f>SUM(B18:Y18)</f>
        <v>479911.4042326392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436679.2965890569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436679.2965890569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436679.2965890569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436679.2965890569</v>
      </c>
      <c r="Z19" s="36">
        <f>SUMIF($B$13:$Y$13,"Yes",B19:Y19)</f>
        <v>873358.5931781138</v>
      </c>
      <c r="AA19" s="36">
        <f>SUM(B19:M19)</f>
        <v>873358.5931781138</v>
      </c>
      <c r="AB19" s="36">
        <f>SUM(B19:Y19)</f>
        <v>1746717.186356228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69399.99999999999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49833.33333333334</v>
      </c>
      <c r="C24" s="36">
        <f>IFERROR(Calculations!$P14/12,"")</f>
        <v>49833.33333333334</v>
      </c>
      <c r="D24" s="36">
        <f>IFERROR(Calculations!$P14/12,"")</f>
        <v>49833.33333333334</v>
      </c>
      <c r="E24" s="36">
        <f>IFERROR(Calculations!$P14/12,"")</f>
        <v>49833.33333333334</v>
      </c>
      <c r="F24" s="36">
        <f>IFERROR(Calculations!$P14/12,"")</f>
        <v>49833.33333333334</v>
      </c>
      <c r="G24" s="36">
        <f>IFERROR(Calculations!$P14/12,"")</f>
        <v>49833.33333333334</v>
      </c>
      <c r="H24" s="36">
        <f>IFERROR(Calculations!$P14/12,"")</f>
        <v>49833.33333333334</v>
      </c>
      <c r="I24" s="36">
        <f>IFERROR(Calculations!$P14/12,"")</f>
        <v>49833.33333333334</v>
      </c>
      <c r="J24" s="36">
        <f>IFERROR(Calculations!$P14/12,"")</f>
        <v>49833.33333333334</v>
      </c>
      <c r="K24" s="36">
        <f>IFERROR(Calculations!$P14/12,"")</f>
        <v>49833.33333333334</v>
      </c>
      <c r="L24" s="36">
        <f>IFERROR(Calculations!$P14/12,"")</f>
        <v>49833.33333333334</v>
      </c>
      <c r="M24" s="36">
        <f>IFERROR(Calculations!$P14/12,"")</f>
        <v>49833.33333333334</v>
      </c>
      <c r="N24" s="36">
        <f>IFERROR(Calculations!$P14/12,"")</f>
        <v>49833.33333333334</v>
      </c>
      <c r="O24" s="36">
        <f>IFERROR(Calculations!$P14/12,"")</f>
        <v>49833.33333333334</v>
      </c>
      <c r="P24" s="36">
        <f>IFERROR(Calculations!$P14/12,"")</f>
        <v>49833.33333333334</v>
      </c>
      <c r="Q24" s="36">
        <f>IFERROR(Calculations!$P14/12,"")</f>
        <v>49833.33333333334</v>
      </c>
      <c r="R24" s="36">
        <f>IFERROR(Calculations!$P14/12,"")</f>
        <v>49833.33333333334</v>
      </c>
      <c r="S24" s="36">
        <f>IFERROR(Calculations!$P14/12,"")</f>
        <v>49833.33333333334</v>
      </c>
      <c r="T24" s="36">
        <f>IFERROR(Calculations!$P14/12,"")</f>
        <v>49833.33333333334</v>
      </c>
      <c r="U24" s="36">
        <f>IFERROR(Calculations!$P14/12,"")</f>
        <v>49833.33333333334</v>
      </c>
      <c r="V24" s="36">
        <f>IFERROR(Calculations!$P14/12,"")</f>
        <v>49833.33333333334</v>
      </c>
      <c r="W24" s="36">
        <f>IFERROR(Calculations!$P14/12,"")</f>
        <v>49833.33333333334</v>
      </c>
      <c r="X24" s="36">
        <f>IFERROR(Calculations!$P14/12,"")</f>
        <v>49833.33333333334</v>
      </c>
      <c r="Y24" s="36">
        <f>IFERROR(Calculations!$P14/12,"")</f>
        <v>49833.33333333334</v>
      </c>
      <c r="Z24" s="36">
        <f>SUMIF($B$13:$Y$13,"Yes",B24:Y24)</f>
        <v>647833.3333333334</v>
      </c>
      <c r="AA24" s="36">
        <f>SUM(B24:M24)</f>
        <v>598000</v>
      </c>
      <c r="AB24" s="46">
        <f>SUM(B24:Y24)</f>
        <v>1196000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9166.666666666666</v>
      </c>
      <c r="C25" s="36">
        <f>IFERROR(Calculations!$P15/12,"")</f>
        <v>9166.666666666666</v>
      </c>
      <c r="D25" s="36">
        <f>IFERROR(Calculations!$P15/12,"")</f>
        <v>9166.666666666666</v>
      </c>
      <c r="E25" s="36">
        <f>IFERROR(Calculations!$P15/12,"")</f>
        <v>9166.666666666666</v>
      </c>
      <c r="F25" s="36">
        <f>IFERROR(Calculations!$P15/12,"")</f>
        <v>9166.666666666666</v>
      </c>
      <c r="G25" s="36">
        <f>IFERROR(Calculations!$P15/12,"")</f>
        <v>9166.666666666666</v>
      </c>
      <c r="H25" s="36">
        <f>IFERROR(Calculations!$P15/12,"")</f>
        <v>9166.666666666666</v>
      </c>
      <c r="I25" s="36">
        <f>IFERROR(Calculations!$P15/12,"")</f>
        <v>9166.666666666666</v>
      </c>
      <c r="J25" s="36">
        <f>IFERROR(Calculations!$P15/12,"")</f>
        <v>9166.666666666666</v>
      </c>
      <c r="K25" s="36">
        <f>IFERROR(Calculations!$P15/12,"")</f>
        <v>9166.666666666666</v>
      </c>
      <c r="L25" s="36">
        <f>IFERROR(Calculations!$P15/12,"")</f>
        <v>9166.666666666666</v>
      </c>
      <c r="M25" s="36">
        <f>IFERROR(Calculations!$P15/12,"")</f>
        <v>9166.666666666666</v>
      </c>
      <c r="N25" s="36">
        <f>IFERROR(Calculations!$P15/12,"")</f>
        <v>9166.666666666666</v>
      </c>
      <c r="O25" s="36">
        <f>IFERROR(Calculations!$P15/12,"")</f>
        <v>9166.666666666666</v>
      </c>
      <c r="P25" s="36">
        <f>IFERROR(Calculations!$P15/12,"")</f>
        <v>9166.666666666666</v>
      </c>
      <c r="Q25" s="36">
        <f>IFERROR(Calculations!$P15/12,"")</f>
        <v>9166.666666666666</v>
      </c>
      <c r="R25" s="36">
        <f>IFERROR(Calculations!$P15/12,"")</f>
        <v>9166.666666666666</v>
      </c>
      <c r="S25" s="36">
        <f>IFERROR(Calculations!$P15/12,"")</f>
        <v>9166.666666666666</v>
      </c>
      <c r="T25" s="36">
        <f>IFERROR(Calculations!$P15/12,"")</f>
        <v>9166.666666666666</v>
      </c>
      <c r="U25" s="36">
        <f>IFERROR(Calculations!$P15/12,"")</f>
        <v>9166.666666666666</v>
      </c>
      <c r="V25" s="36">
        <f>IFERROR(Calculations!$P15/12,"")</f>
        <v>9166.666666666666</v>
      </c>
      <c r="W25" s="36">
        <f>IFERROR(Calculations!$P15/12,"")</f>
        <v>9166.666666666666</v>
      </c>
      <c r="X25" s="36">
        <f>IFERROR(Calculations!$P15/12,"")</f>
        <v>9166.666666666666</v>
      </c>
      <c r="Y25" s="36">
        <f>IFERROR(Calculations!$P15/12,"")</f>
        <v>9166.666666666666</v>
      </c>
      <c r="Z25" s="36">
        <f>SUMIF($B$13:$Y$13,"Yes",B25:Y25)</f>
        <v>119166.6666666667</v>
      </c>
      <c r="AA25" s="36">
        <f>SUM(B25:M25)</f>
        <v>110000</v>
      </c>
      <c r="AB25" s="46">
        <f>SUM(B25:Y25)</f>
        <v>219999.9999999999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94000</v>
      </c>
      <c r="C30" s="19">
        <f>SUM(C18:C29)</f>
        <v>94000</v>
      </c>
      <c r="D30" s="19">
        <f>SUM(D18:D29)</f>
        <v>94000</v>
      </c>
      <c r="E30" s="19">
        <f>SUM(E18:E29)</f>
        <v>94000</v>
      </c>
      <c r="F30" s="19">
        <f>SUM(F18:F29)</f>
        <v>94000</v>
      </c>
      <c r="G30" s="19">
        <f>SUM(G18:G29)</f>
        <v>530679.296589057</v>
      </c>
      <c r="H30" s="19">
        <f>SUM(H18:H29)</f>
        <v>203070.7736892362</v>
      </c>
      <c r="I30" s="19">
        <f>SUM(I18:I29)</f>
        <v>224884.9284270834</v>
      </c>
      <c r="J30" s="19">
        <f>SUM(J18:J29)</f>
        <v>94000</v>
      </c>
      <c r="K30" s="19">
        <f>SUM(K18:K29)</f>
        <v>94000</v>
      </c>
      <c r="L30" s="19">
        <f>SUM(L18:L29)</f>
        <v>94000</v>
      </c>
      <c r="M30" s="19">
        <f>SUM(M18:M29)</f>
        <v>530679.296589057</v>
      </c>
      <c r="N30" s="19">
        <f>SUM(N18:N29)</f>
        <v>94000</v>
      </c>
      <c r="O30" s="19">
        <f>SUM(O18:O29)</f>
        <v>94000</v>
      </c>
      <c r="P30" s="19">
        <f>SUM(P18:P29)</f>
        <v>94000</v>
      </c>
      <c r="Q30" s="19">
        <f>SUM(Q18:Q29)</f>
        <v>94000</v>
      </c>
      <c r="R30" s="19">
        <f>SUM(R18:R29)</f>
        <v>94000</v>
      </c>
      <c r="S30" s="19">
        <f>SUM(S18:S29)</f>
        <v>530679.296589057</v>
      </c>
      <c r="T30" s="19">
        <f>SUM(T18:T29)</f>
        <v>203070.7736892362</v>
      </c>
      <c r="U30" s="19">
        <f>SUM(U18:U29)</f>
        <v>224884.9284270834</v>
      </c>
      <c r="V30" s="19">
        <f>SUM(V18:V29)</f>
        <v>94000</v>
      </c>
      <c r="W30" s="19">
        <f>SUM(W18:W29)</f>
        <v>94000</v>
      </c>
      <c r="X30" s="19">
        <f>SUM(X18:X29)</f>
        <v>94000</v>
      </c>
      <c r="Y30" s="19">
        <f>SUM(Y18:Y29)</f>
        <v>530679.296589057</v>
      </c>
      <c r="Z30" s="19">
        <f>SUMIF($B$13:$Y$13,"Yes",B30:Y30)</f>
        <v>2335314.295294434</v>
      </c>
      <c r="AA30" s="19">
        <f>SUM(B30:M30)</f>
        <v>2241314.295294434</v>
      </c>
      <c r="AB30" s="19">
        <f>SUM(B30:Y30)</f>
        <v>4482628.590588868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44560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44560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127620</v>
      </c>
      <c r="AA42" s="36">
        <f>SUM(B42:M42)</f>
        <v>83060</v>
      </c>
      <c r="AB42" s="36">
        <f>SUM(B42:Y42)</f>
        <v>166120</v>
      </c>
    </row>
    <row r="43" spans="1:30" hidden="true" outlineLevel="1">
      <c r="A43" s="181" t="str">
        <f>Calculations!$A$4</f>
        <v>Maize</v>
      </c>
      <c r="B43" s="36">
        <f>N43</f>
        <v>6060.000000000001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6060.000000000001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6060.000000000001</v>
      </c>
      <c r="AB43" s="36">
        <f>SUM(B43:Y43)</f>
        <v>12120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115500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96000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96000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186000</v>
      </c>
      <c r="AA48" s="46">
        <f>SUM(B48:M48)</f>
        <v>186000</v>
      </c>
      <c r="AB48" s="46">
        <f>SUM(B48:Y48)</f>
        <v>372000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59729.2332107722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59729.2332107722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59729.2332107722</v>
      </c>
      <c r="AA54" s="46">
        <f>SUM(B54:M54)</f>
        <v>59729.2332107722</v>
      </c>
      <c r="AB54" s="46">
        <f>SUM(B54:Y54)</f>
        <v>119458.4664215444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59729.2332107722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59729.2332107722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59729.2332107722</v>
      </c>
      <c r="AA55" s="46">
        <f>SUM(B55:M55)</f>
        <v>59729.2332107722</v>
      </c>
      <c r="AB55" s="46">
        <f>SUM(B55:Y55)</f>
        <v>119458.4664215444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29050</v>
      </c>
      <c r="C66" s="36">
        <f>O66</f>
        <v>29050</v>
      </c>
      <c r="D66" s="36">
        <f>P66</f>
        <v>29050</v>
      </c>
      <c r="E66" s="36">
        <f>Q66</f>
        <v>29050</v>
      </c>
      <c r="F66" s="36">
        <f>R66</f>
        <v>29050</v>
      </c>
      <c r="G66" s="36">
        <f>S66</f>
        <v>29050</v>
      </c>
      <c r="H66" s="36">
        <f>T66</f>
        <v>29050</v>
      </c>
      <c r="I66" s="36">
        <f>U66</f>
        <v>12250</v>
      </c>
      <c r="J66" s="36">
        <f>V66</f>
        <v>12250</v>
      </c>
      <c r="K66" s="36">
        <f>W66</f>
        <v>12250</v>
      </c>
      <c r="L66" s="36">
        <f>X66</f>
        <v>12250</v>
      </c>
      <c r="M66" s="36">
        <f>Y66</f>
        <v>12250</v>
      </c>
      <c r="N66" s="46">
        <f>SUM(N67:N71)</f>
        <v>29050</v>
      </c>
      <c r="O66" s="46">
        <f>SUM(O67:O71)</f>
        <v>29050</v>
      </c>
      <c r="P66" s="46">
        <f>SUM(P67:P71)</f>
        <v>29050</v>
      </c>
      <c r="Q66" s="46">
        <f>SUM(Q67:Q71)</f>
        <v>29050</v>
      </c>
      <c r="R66" s="46">
        <f>SUM(R67:R71)</f>
        <v>29050</v>
      </c>
      <c r="S66" s="46">
        <f>SUM(S67:S71)</f>
        <v>29050</v>
      </c>
      <c r="T66" s="46">
        <f>SUM(T67:T71)</f>
        <v>29050</v>
      </c>
      <c r="U66" s="46">
        <f>SUM(U67:U71)</f>
        <v>12250</v>
      </c>
      <c r="V66" s="46">
        <f>SUM(V67:V71)</f>
        <v>12250</v>
      </c>
      <c r="W66" s="46">
        <f>SUM(W67:W71)</f>
        <v>12250</v>
      </c>
      <c r="X66" s="46">
        <f>SUM(X67:X71)</f>
        <v>12250</v>
      </c>
      <c r="Y66" s="46">
        <f>SUM(Y67:Y71)</f>
        <v>12250</v>
      </c>
      <c r="Z66" s="46">
        <f>SUMIF($B$13:$Y$13,"Yes",B66:Y66)</f>
        <v>293650</v>
      </c>
      <c r="AA66" s="46">
        <f>SUM(B66:M66)</f>
        <v>264600</v>
      </c>
      <c r="AB66" s="46">
        <f>SUM(B66:Y66)</f>
        <v>529200</v>
      </c>
    </row>
    <row r="67" spans="1:30" hidden="true" outlineLevel="1">
      <c r="A67" s="181" t="str">
        <f>Calculations!$A$4</f>
        <v>Maize</v>
      </c>
      <c r="B67" s="36">
        <f>N67</f>
        <v>16800</v>
      </c>
      <c r="C67" s="36">
        <f>O67</f>
        <v>16800</v>
      </c>
      <c r="D67" s="36">
        <f>P67</f>
        <v>16800</v>
      </c>
      <c r="E67" s="36">
        <f>Q67</f>
        <v>16800</v>
      </c>
      <c r="F67" s="36">
        <f>R67</f>
        <v>16800</v>
      </c>
      <c r="G67" s="36">
        <f>S67</f>
        <v>16800</v>
      </c>
      <c r="H67" s="36">
        <f>T67</f>
        <v>16800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134400</v>
      </c>
      <c r="AA67" s="46">
        <f>SUM(B67:M67)</f>
        <v>117600</v>
      </c>
      <c r="AB67" s="46">
        <f>SUM(B67:Y67)</f>
        <v>235200</v>
      </c>
    </row>
    <row r="68" spans="1:30" hidden="true" outlineLevel="1">
      <c r="A68" s="181" t="str">
        <f>Calculations!$A$5</f>
        <v>Wheat</v>
      </c>
      <c r="B68" s="36">
        <f>N68</f>
        <v>12250</v>
      </c>
      <c r="C68" s="36">
        <f>O68</f>
        <v>12250</v>
      </c>
      <c r="D68" s="36">
        <f>P68</f>
        <v>12250</v>
      </c>
      <c r="E68" s="36">
        <f>Q68</f>
        <v>12250</v>
      </c>
      <c r="F68" s="36">
        <f>R68</f>
        <v>12250</v>
      </c>
      <c r="G68" s="36">
        <f>S68</f>
        <v>12250</v>
      </c>
      <c r="H68" s="36">
        <f>T68</f>
        <v>12250</v>
      </c>
      <c r="I68" s="36">
        <f>U68</f>
        <v>12250</v>
      </c>
      <c r="J68" s="36">
        <f>V68</f>
        <v>12250</v>
      </c>
      <c r="K68" s="36">
        <f>W68</f>
        <v>12250</v>
      </c>
      <c r="L68" s="36">
        <f>X68</f>
        <v>12250</v>
      </c>
      <c r="M68" s="36">
        <f>Y68</f>
        <v>12250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12250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12250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12250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12250</v>
      </c>
      <c r="Z68" s="46">
        <f>SUMIF($B$13:$Y$13,"Yes",B68:Y68)</f>
        <v>159250</v>
      </c>
      <c r="AA68" s="46">
        <f>SUM(B68:M68)</f>
        <v>147000</v>
      </c>
      <c r="AB68" s="46">
        <f>SUM(B68:Y68)</f>
        <v>294000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2216.666666666667</v>
      </c>
      <c r="C75" s="46">
        <f>SUM(Calculations!$R$14:$R$16)/12</f>
        <v>2216.666666666667</v>
      </c>
      <c r="D75" s="46">
        <f>SUM(Calculations!$R$14:$R$16)/12</f>
        <v>2216.666666666667</v>
      </c>
      <c r="E75" s="46">
        <f>SUM(Calculations!$R$14:$R$16)/12</f>
        <v>2216.666666666667</v>
      </c>
      <c r="F75" s="46">
        <f>SUM(Calculations!$R$14:$R$16)/12</f>
        <v>2216.666666666667</v>
      </c>
      <c r="G75" s="46">
        <f>SUM(Calculations!$R$14:$R$16)/12</f>
        <v>2216.666666666667</v>
      </c>
      <c r="H75" s="46">
        <f>SUM(Calculations!$R$14:$R$16)/12</f>
        <v>2216.666666666667</v>
      </c>
      <c r="I75" s="46">
        <f>SUM(Calculations!$R$14:$R$16)/12</f>
        <v>2216.666666666667</v>
      </c>
      <c r="J75" s="46">
        <f>SUM(Calculations!$R$14:$R$16)/12</f>
        <v>2216.666666666667</v>
      </c>
      <c r="K75" s="46">
        <f>SUM(Calculations!$R$14:$R$16)/12</f>
        <v>2216.666666666667</v>
      </c>
      <c r="L75" s="46">
        <f>SUM(Calculations!$R$14:$R$16)/12</f>
        <v>2216.666666666667</v>
      </c>
      <c r="M75" s="46">
        <f>SUM(Calculations!$R$14:$R$16)/12</f>
        <v>2216.666666666667</v>
      </c>
      <c r="N75" s="46">
        <f>SUM(Calculations!$R$14:$R$16)/12</f>
        <v>2216.666666666667</v>
      </c>
      <c r="O75" s="46">
        <f>SUM(Calculations!$R$14:$R$16)/12</f>
        <v>2216.666666666667</v>
      </c>
      <c r="P75" s="46">
        <f>SUM(Calculations!$R$14:$R$16)/12</f>
        <v>2216.666666666667</v>
      </c>
      <c r="Q75" s="46">
        <f>SUM(Calculations!$R$14:$R$16)/12</f>
        <v>2216.666666666667</v>
      </c>
      <c r="R75" s="46">
        <f>SUM(Calculations!$R$14:$R$16)/12</f>
        <v>2216.666666666667</v>
      </c>
      <c r="S75" s="46">
        <f>SUM(Calculations!$R$14:$R$16)/12</f>
        <v>2216.666666666667</v>
      </c>
      <c r="T75" s="46">
        <f>SUM(Calculations!$R$14:$R$16)/12</f>
        <v>2216.666666666667</v>
      </c>
      <c r="U75" s="46">
        <f>SUM(Calculations!$R$14:$R$16)/12</f>
        <v>2216.666666666667</v>
      </c>
      <c r="V75" s="46">
        <f>SUM(Calculations!$R$14:$R$16)/12</f>
        <v>2216.666666666667</v>
      </c>
      <c r="W75" s="46">
        <f>SUM(Calculations!$R$14:$R$16)/12</f>
        <v>2216.666666666667</v>
      </c>
      <c r="X75" s="46">
        <f>SUM(Calculations!$R$14:$R$16)/12</f>
        <v>2216.666666666667</v>
      </c>
      <c r="Y75" s="46">
        <f>SUM(Calculations!$R$14:$R$16)/12</f>
        <v>2216.666666666667</v>
      </c>
      <c r="Z75" s="46">
        <f>SUMIF($B$13:$Y$13,"Yes",B75:Y75)</f>
        <v>28816.66666666667</v>
      </c>
      <c r="AA75" s="46">
        <f>SUM(B75:M75)</f>
        <v>26600</v>
      </c>
      <c r="AB75" s="46">
        <f>SUM(B75:Y75)</f>
        <v>53199.99999999999</v>
      </c>
    </row>
    <row r="76" spans="1:30">
      <c r="A76" s="16" t="s">
        <v>48</v>
      </c>
      <c r="B76" s="46">
        <f>SUM(Calculations!$S$14:$S$16)/12</f>
        <v>2891.666666666667</v>
      </c>
      <c r="C76" s="46">
        <f>SUM(Calculations!$S$14:$S$16)/12</f>
        <v>2891.666666666667</v>
      </c>
      <c r="D76" s="46">
        <f>SUM(Calculations!$S$14:$S$16)/12</f>
        <v>2891.666666666667</v>
      </c>
      <c r="E76" s="46">
        <f>SUM(Calculations!$S$14:$S$16)/12</f>
        <v>2891.666666666667</v>
      </c>
      <c r="F76" s="46">
        <f>SUM(Calculations!$S$14:$S$16)/12</f>
        <v>2891.666666666667</v>
      </c>
      <c r="G76" s="46">
        <f>SUM(Calculations!$S$14:$S$16)/12</f>
        <v>2891.666666666667</v>
      </c>
      <c r="H76" s="46">
        <f>SUM(Calculations!$S$14:$S$16)/12</f>
        <v>2891.666666666667</v>
      </c>
      <c r="I76" s="46">
        <f>SUM(Calculations!$S$14:$S$16)/12</f>
        <v>2891.666666666667</v>
      </c>
      <c r="J76" s="46">
        <f>SUM(Calculations!$S$14:$S$16)/12</f>
        <v>2891.666666666667</v>
      </c>
      <c r="K76" s="46">
        <f>SUM(Calculations!$S$14:$S$16)/12</f>
        <v>2891.666666666667</v>
      </c>
      <c r="L76" s="46">
        <f>SUM(Calculations!$S$14:$S$16)/12</f>
        <v>2891.666666666667</v>
      </c>
      <c r="M76" s="46">
        <f>SUM(Calculations!$S$14:$S$16)/12</f>
        <v>2891.666666666667</v>
      </c>
      <c r="N76" s="46">
        <f>SUM(Calculations!$S$14:$S$16)/12</f>
        <v>2891.666666666667</v>
      </c>
      <c r="O76" s="46">
        <f>SUM(Calculations!$S$14:$S$16)/12</f>
        <v>2891.666666666667</v>
      </c>
      <c r="P76" s="46">
        <f>SUM(Calculations!$S$14:$S$16)/12</f>
        <v>2891.666666666667</v>
      </c>
      <c r="Q76" s="46">
        <f>SUM(Calculations!$S$14:$S$16)/12</f>
        <v>2891.666666666667</v>
      </c>
      <c r="R76" s="46">
        <f>SUM(Calculations!$S$14:$S$16)/12</f>
        <v>2891.666666666667</v>
      </c>
      <c r="S76" s="46">
        <f>SUM(Calculations!$S$14:$S$16)/12</f>
        <v>2891.666666666667</v>
      </c>
      <c r="T76" s="46">
        <f>SUM(Calculations!$S$14:$S$16)/12</f>
        <v>2891.666666666667</v>
      </c>
      <c r="U76" s="46">
        <f>SUM(Calculations!$S$14:$S$16)/12</f>
        <v>2891.666666666667</v>
      </c>
      <c r="V76" s="46">
        <f>SUM(Calculations!$S$14:$S$16)/12</f>
        <v>2891.666666666667</v>
      </c>
      <c r="W76" s="46">
        <f>SUM(Calculations!$S$14:$S$16)/12</f>
        <v>2891.666666666667</v>
      </c>
      <c r="X76" s="46">
        <f>SUM(Calculations!$S$14:$S$16)/12</f>
        <v>2891.666666666667</v>
      </c>
      <c r="Y76" s="46">
        <f>SUM(Calculations!$S$14:$S$16)/12</f>
        <v>2891.666666666667</v>
      </c>
      <c r="Z76" s="46">
        <f>SUMIF($B$13:$Y$13,"Yes",B76:Y76)</f>
        <v>37591.66666666667</v>
      </c>
      <c r="AA76" s="46">
        <f>SUM(B76:M76)</f>
        <v>34700.00000000001</v>
      </c>
      <c r="AB76" s="46">
        <f>SUM(B76:Y76)</f>
        <v>69399.99999999999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50487.50206945537</v>
      </c>
      <c r="C81" s="46">
        <f>(SUM($AA$18:$AA$29)-SUM($AA$36,$AA$42,$AA$48,$AA$54,$AA$60,$AA$66,$AA$72:$AA$79))*Parameters!$B$37/12</f>
        <v>50487.50206945537</v>
      </c>
      <c r="D81" s="46">
        <f>(SUM($AA$18:$AA$29)-SUM($AA$36,$AA$42,$AA$48,$AA$54,$AA$60,$AA$66,$AA$72:$AA$79))*Parameters!$B$37/12</f>
        <v>50487.50206945537</v>
      </c>
      <c r="E81" s="46">
        <f>(SUM($AA$18:$AA$29)-SUM($AA$36,$AA$42,$AA$48,$AA$54,$AA$60,$AA$66,$AA$72:$AA$79))*Parameters!$B$37/12</f>
        <v>50487.50206945537</v>
      </c>
      <c r="F81" s="46">
        <f>(SUM($AA$18:$AA$29)-SUM($AA$36,$AA$42,$AA$48,$AA$54,$AA$60,$AA$66,$AA$72:$AA$79))*Parameters!$B$37/12</f>
        <v>50487.50206945537</v>
      </c>
      <c r="G81" s="46">
        <f>(SUM($AA$18:$AA$29)-SUM($AA$36,$AA$42,$AA$48,$AA$54,$AA$60,$AA$66,$AA$72:$AA$79))*Parameters!$B$37/12</f>
        <v>50487.50206945537</v>
      </c>
      <c r="H81" s="46">
        <f>(SUM($AA$18:$AA$29)-SUM($AA$36,$AA$42,$AA$48,$AA$54,$AA$60,$AA$66,$AA$72:$AA$79))*Parameters!$B$37/12</f>
        <v>50487.50206945537</v>
      </c>
      <c r="I81" s="46">
        <f>(SUM($AA$18:$AA$29)-SUM($AA$36,$AA$42,$AA$48,$AA$54,$AA$60,$AA$66,$AA$72:$AA$79))*Parameters!$B$37/12</f>
        <v>50487.50206945537</v>
      </c>
      <c r="J81" s="46">
        <f>(SUM($AA$18:$AA$29)-SUM($AA$36,$AA$42,$AA$48,$AA$54,$AA$60,$AA$66,$AA$72:$AA$79))*Parameters!$B$37/12</f>
        <v>50487.50206945537</v>
      </c>
      <c r="K81" s="46">
        <f>(SUM($AA$18:$AA$29)-SUM($AA$36,$AA$42,$AA$48,$AA$54,$AA$60,$AA$66,$AA$72:$AA$79))*Parameters!$B$37/12</f>
        <v>50487.50206945537</v>
      </c>
      <c r="L81" s="46">
        <f>(SUM($AA$18:$AA$29)-SUM($AA$36,$AA$42,$AA$48,$AA$54,$AA$60,$AA$66,$AA$72:$AA$79))*Parameters!$B$37/12</f>
        <v>50487.50206945537</v>
      </c>
      <c r="M81" s="46">
        <f>(SUM($AA$18:$AA$29)-SUM($AA$36,$AA$42,$AA$48,$AA$54,$AA$60,$AA$66,$AA$72:$AA$79))*Parameters!$B$37/12</f>
        <v>50487.50206945537</v>
      </c>
      <c r="N81" s="46">
        <f>(SUM($AA$18:$AA$29)-SUM($AA$36,$AA$42,$AA$48,$AA$54,$AA$60,$AA$66,$AA$72:$AA$79))*Parameters!$B$37/12</f>
        <v>50487.50206945537</v>
      </c>
      <c r="O81" s="46">
        <f>(SUM($AA$18:$AA$29)-SUM($AA$36,$AA$42,$AA$48,$AA$54,$AA$60,$AA$66,$AA$72:$AA$79))*Parameters!$B$37/12</f>
        <v>50487.50206945537</v>
      </c>
      <c r="P81" s="46">
        <f>(SUM($AA$18:$AA$29)-SUM($AA$36,$AA$42,$AA$48,$AA$54,$AA$60,$AA$66,$AA$72:$AA$79))*Parameters!$B$37/12</f>
        <v>50487.50206945537</v>
      </c>
      <c r="Q81" s="46">
        <f>(SUM($AA$18:$AA$29)-SUM($AA$36,$AA$42,$AA$48,$AA$54,$AA$60,$AA$66,$AA$72:$AA$79))*Parameters!$B$37/12</f>
        <v>50487.50206945537</v>
      </c>
      <c r="R81" s="46">
        <f>(SUM($AA$18:$AA$29)-SUM($AA$36,$AA$42,$AA$48,$AA$54,$AA$60,$AA$66,$AA$72:$AA$79))*Parameters!$B$37/12</f>
        <v>50487.50206945537</v>
      </c>
      <c r="S81" s="46">
        <f>(SUM($AA$18:$AA$29)-SUM($AA$36,$AA$42,$AA$48,$AA$54,$AA$60,$AA$66,$AA$72:$AA$79))*Parameters!$B$37/12</f>
        <v>50487.50206945537</v>
      </c>
      <c r="T81" s="46">
        <f>(SUM($AA$18:$AA$29)-SUM($AA$36,$AA$42,$AA$48,$AA$54,$AA$60,$AA$66,$AA$72:$AA$79))*Parameters!$B$37/12</f>
        <v>50487.50206945537</v>
      </c>
      <c r="U81" s="46">
        <f>(SUM($AA$18:$AA$29)-SUM($AA$36,$AA$42,$AA$48,$AA$54,$AA$60,$AA$66,$AA$72:$AA$79))*Parameters!$B$37/12</f>
        <v>50487.50206945537</v>
      </c>
      <c r="V81" s="46">
        <f>(SUM($AA$18:$AA$29)-SUM($AA$36,$AA$42,$AA$48,$AA$54,$AA$60,$AA$66,$AA$72:$AA$79))*Parameters!$B$37/12</f>
        <v>50487.50206945537</v>
      </c>
      <c r="W81" s="46">
        <f>(SUM($AA$18:$AA$29)-SUM($AA$36,$AA$42,$AA$48,$AA$54,$AA$60,$AA$66,$AA$72:$AA$79))*Parameters!$B$37/12</f>
        <v>50487.50206945537</v>
      </c>
      <c r="X81" s="46">
        <f>(SUM($AA$18:$AA$29)-SUM($AA$36,$AA$42,$AA$48,$AA$54,$AA$60,$AA$66,$AA$72:$AA$79))*Parameters!$B$37/12</f>
        <v>50487.50206945537</v>
      </c>
      <c r="Y81" s="46">
        <f>(SUM($AA$18:$AA$29)-SUM($AA$36,$AA$42,$AA$48,$AA$54,$AA$60,$AA$66,$AA$72:$AA$79))*Parameters!$B$37/12</f>
        <v>50487.50206945537</v>
      </c>
      <c r="Z81" s="46">
        <f>SUMIF($B$13:$Y$13,"Yes",B81:Y81)</f>
        <v>656337.5269029196</v>
      </c>
      <c r="AA81" s="46">
        <f>SUM(B81:M81)</f>
        <v>605850.0248334643</v>
      </c>
      <c r="AB81" s="46">
        <f>SUM(B81:Y81)</f>
        <v>1211700.049666928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135205.8354027887</v>
      </c>
      <c r="C88" s="19">
        <f>SUM(C72:C82,C66,C60,C54,C48,C42,C36)</f>
        <v>90645.8354027887</v>
      </c>
      <c r="D88" s="19">
        <f>SUM(D72:D82,D66,D60,D54,D48,D42,D36)</f>
        <v>90645.8354027887</v>
      </c>
      <c r="E88" s="19">
        <f>SUM(E72:E82,E66,E60,E54,E48,E42,E36)</f>
        <v>186645.8354027887</v>
      </c>
      <c r="F88" s="19">
        <f>SUM(F72:F82,F66,F60,F54,F48,F42,F36)</f>
        <v>90645.8354027887</v>
      </c>
      <c r="G88" s="19">
        <f>SUM(G72:G82,G66,G60,G54,G48,G42,G36)</f>
        <v>90645.8354027887</v>
      </c>
      <c r="H88" s="19">
        <f>SUM(H72:H82,H66,H60,H54,H48,H42,H36)</f>
        <v>188875.0686135609</v>
      </c>
      <c r="I88" s="19">
        <f>SUM(I72:I82,I66,I60,I54,I48,I42,I36)</f>
        <v>73845.8354027887</v>
      </c>
      <c r="J88" s="19">
        <f>SUM(J72:J82,J66,J60,J54,J48,J42,J36)</f>
        <v>73845.8354027887</v>
      </c>
      <c r="K88" s="19">
        <f>SUM(K72:K82,K66,K60,K54,K48,K42,K36)</f>
        <v>163845.8354027887</v>
      </c>
      <c r="L88" s="19">
        <f>SUM(L72:L82,L66,L60,L54,L48,L42,L36)</f>
        <v>73845.8354027887</v>
      </c>
      <c r="M88" s="19">
        <f>SUM(M72:M82,M66,M60,M54,M48,M42,M36)</f>
        <v>73845.8354027887</v>
      </c>
      <c r="N88" s="19">
        <f>SUM(N72:N82,N66,N60,N54,N48,N42,N36)</f>
        <v>135205.8354027887</v>
      </c>
      <c r="O88" s="19">
        <f>SUM(O72:O82,O66,O60,O54,O48,O42,O36)</f>
        <v>90645.8354027887</v>
      </c>
      <c r="P88" s="19">
        <f>SUM(P72:P82,P66,P60,P54,P48,P42,P36)</f>
        <v>90645.8354027887</v>
      </c>
      <c r="Q88" s="19">
        <f>SUM(Q72:Q82,Q66,Q60,Q54,Q48,Q42,Q36)</f>
        <v>186645.8354027887</v>
      </c>
      <c r="R88" s="19">
        <f>SUM(R72:R82,R66,R60,R54,R48,R42,R36)</f>
        <v>90645.8354027887</v>
      </c>
      <c r="S88" s="19">
        <f>SUM(S72:S82,S66,S60,S54,S48,S42,S36)</f>
        <v>90645.8354027887</v>
      </c>
      <c r="T88" s="19">
        <f>SUM(T72:T82,T66,T60,T54,T48,T42,T36)</f>
        <v>188875.0686135609</v>
      </c>
      <c r="U88" s="19">
        <f>SUM(U72:U82,U66,U60,U54,U48,U42,U36)</f>
        <v>73845.8354027887</v>
      </c>
      <c r="V88" s="19">
        <f>SUM(V72:V82,V66,V60,V54,V48,V42,V36)</f>
        <v>73845.8354027887</v>
      </c>
      <c r="W88" s="19">
        <f>SUM(W72:W82,W66,W60,W54,W48,W42,W36)</f>
        <v>163845.8354027887</v>
      </c>
      <c r="X88" s="19">
        <f>SUM(X72:X82,X66,X60,X54,X48,X42,X36)</f>
        <v>73845.8354027887</v>
      </c>
      <c r="Y88" s="19">
        <f>SUM(Y72:Y82,Y66,Y60,Y54,Y48,Y42,Y36)</f>
        <v>73845.8354027887</v>
      </c>
      <c r="Z88" s="19">
        <f>SUMIF($B$13:$Y$13,"Yes",B88:Y88)</f>
        <v>1467745.093447025</v>
      </c>
      <c r="AA88" s="19">
        <f>SUM(B88:M88)</f>
        <v>1332539.258044236</v>
      </c>
      <c r="AB88" s="19">
        <f>SUM(B88:Y88)</f>
        <v>2665078.516088472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1960000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10935000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26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55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35000</v>
      </c>
    </row>
    <row r="31" spans="1:48">
      <c r="A31" s="5" t="s">
        <v>119</v>
      </c>
      <c r="B31" s="158">
        <v>6000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350000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450000</v>
      </c>
    </row>
    <row r="48" spans="1:48" customHeight="1" ht="30">
      <c r="A48" s="57" t="s">
        <v>135</v>
      </c>
      <c r="B48" s="161">
        <v>2500000</v>
      </c>
    </row>
    <row r="49" spans="1:48" customHeight="1" ht="30">
      <c r="A49" s="57" t="s">
        <v>136</v>
      </c>
      <c r="B49" s="161">
        <v>25000</v>
      </c>
    </row>
    <row r="50" spans="1:48">
      <c r="A50" s="43"/>
      <c r="B50" s="36"/>
    </row>
    <row r="51" spans="1:48">
      <c r="A51" s="58" t="s">
        <v>137</v>
      </c>
      <c r="B51" s="161">
        <v>6000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200000</v>
      </c>
      <c r="B57" s="157">
        <v>0</v>
      </c>
      <c r="C57" s="164" t="s">
        <v>148</v>
      </c>
      <c r="D57" s="165" t="s">
        <v>146</v>
      </c>
      <c r="E57" s="165" t="s">
        <v>92</v>
      </c>
      <c r="F57" s="165" t="s">
        <v>147</v>
      </c>
    </row>
    <row r="58" spans="1:48">
      <c r="A58" s="157">
        <v>500</v>
      </c>
      <c r="B58" s="157">
        <v>0</v>
      </c>
      <c r="C58" s="164" t="s">
        <v>149</v>
      </c>
      <c r="D58" s="165" t="s">
        <v>150</v>
      </c>
      <c r="E58" s="165" t="s">
        <v>93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153</v>
      </c>
      <c r="C65" s="10" t="s">
        <v>154</v>
      </c>
    </row>
    <row r="66" spans="1:48">
      <c r="A66" s="142" t="s">
        <v>155</v>
      </c>
      <c r="B66" s="159">
        <v>462380</v>
      </c>
      <c r="C66" s="163">
        <v>32154</v>
      </c>
      <c r="D66" s="49">
        <f>INDEX(Parameters!$D$79:$D$90,MATCH(Inputs!A66,Parameters!$C$79:$C$90,0))</f>
        <v>7</v>
      </c>
    </row>
    <row r="67" spans="1:48">
      <c r="A67" s="143" t="s">
        <v>156</v>
      </c>
      <c r="B67" s="157">
        <v>109308</v>
      </c>
      <c r="C67" s="165">
        <v>62598</v>
      </c>
      <c r="D67" s="49">
        <f>INDEX(Parameters!$D$79:$D$90,MATCH(Inputs!A67,Parameters!$C$79:$C$90,0))</f>
        <v>8</v>
      </c>
    </row>
    <row r="68" spans="1:48">
      <c r="A68" s="143" t="s">
        <v>157</v>
      </c>
      <c r="B68" s="157">
        <v>193765</v>
      </c>
      <c r="C68" s="165">
        <v>85654</v>
      </c>
      <c r="D68" s="49">
        <f>INDEX(Parameters!$D$79:$D$90,MATCH(Inputs!A68,Parameters!$C$79:$C$90,0))</f>
        <v>9</v>
      </c>
    </row>
    <row r="69" spans="1:48">
      <c r="A69" s="143" t="s">
        <v>158</v>
      </c>
      <c r="B69" s="157">
        <v>40179</v>
      </c>
      <c r="C69" s="165">
        <v>2569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79795</v>
      </c>
      <c r="C70" s="165">
        <v>25621</v>
      </c>
      <c r="D70" s="49">
        <f>INDEX(Parameters!$D$79:$D$90,MATCH(Inputs!A70,Parameters!$C$79:$C$90,0))</f>
        <v>11</v>
      </c>
    </row>
    <row r="71" spans="1:48">
      <c r="A71" s="144" t="s">
        <v>160</v>
      </c>
      <c r="B71" s="158">
        <v>72900</v>
      </c>
      <c r="C71" s="167">
        <v>12540</v>
      </c>
      <c r="D71" s="49">
        <f>INDEX(Parameters!$D$79:$D$90,MATCH(Inputs!A71,Parameters!$C$79:$C$90,0))</f>
        <v>12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43282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43282</v>
      </c>
      <c r="H4" s="20">
        <f>Inputs!C7</f>
        <v>10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1298.461591538526</v>
      </c>
      <c r="M4" s="25">
        <f>L4*H4</f>
        <v>12984.61591538526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218141.5473784724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29864.6166053861</v>
      </c>
      <c r="AB4" s="33">
        <f>H4*IFERROR(INDEX(Parameters!$A$3:$AI$17,MATCH(Calculations!A4,Parameters!$A$3:$A$17,0),MATCH(Parameters!$O$3,Parameters!$A$3:$AI$3,0)),AVERAGE(Parameters!$O$4:$O$17))*(1-Inputs!$B$25/100)</f>
        <v>84000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15995.57862963579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873358.5931781138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15600</v>
      </c>
      <c r="S14" s="63">
        <f>IFERROR(D14*INDEX(Parameters!$A$22:$P$29,MATCH(Calculations!$A14,Parameters!$A$22:$A$29,0),MATCH(Parameters!$N$22,Parameters!$A$22:$P$22,0)),"")</f>
        <v>18200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16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11000</v>
      </c>
      <c r="S15" s="64">
        <f>IFERROR(D15*INDEX(Parameters!$A$22:$P$29,MATCH(Calculations!$A15,Parameters!$A$22:$A$29,0),MATCH(Parameters!$N$22,Parameters!$A$22:$P$22,0)),"")</f>
        <v>16500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43143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43132</v>
      </c>
      <c r="F33" t="s">
        <v>166</v>
      </c>
      <c r="G33" s="128">
        <f>IF(Inputs!B79="","",DATE(YEAR(Inputs!B79),MONTH(Inputs!B79),DAY(Inputs!B79)))</f>
        <v>43112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43171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43160</v>
      </c>
      <c r="F34" t="s">
        <v>167</v>
      </c>
      <c r="G34" s="128">
        <f>IF(Inputs!B80="","",DATE(YEAR(Inputs!B80),MONTH(Inputs!B80),DAY(Inputs!B80)))</f>
        <v>43143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43202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43191</v>
      </c>
      <c r="F35" t="s">
        <v>169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43232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43221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43252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43282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43313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43355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43344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43374</v>
      </c>
      <c r="F41" t="s">
        <v>233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43405</v>
      </c>
      <c r="F42" t="s">
        <v>234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111</v>
      </c>
      <c r="H77" s="12" t="s">
        <v>130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319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172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