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<sst xmlns="http://schemas.openxmlformats.org/spreadsheetml/2006/main" uniqueCount="374">
  <si>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</si>
  <si>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</si>
  <si>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</si>
  <si>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</si>
  <si>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</si>
  <si>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</si>
  <si>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</si>
  <si>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</si>
  <si>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</si>
  <si>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</si>
  <si>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</si>
  <si>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</si>
  <si>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</si>
  <si>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</si>
  <si>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</si>
  <si>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</si>
  <si>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</si>
  <si>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</si>
  <si>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</si>
  <si>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</si>
  <si>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</si>
  <si>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</si>
  <si>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</si>
  <si>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</si>
  <si>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</si>
  <si>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</si>
  <si>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</si>
  <si>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</si>
  <si>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</si>
  <si>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</si>
  <si>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</si>
  <si>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</si>
  <si>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</si>
  <si>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</si>
  <si>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</si>
  <si>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</si>
  <si>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</si>
  <si>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</si>
  <si>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</si>
  <si>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</si>
  <si>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</si>
  <si>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</si>
  <si>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</si>
  <si>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</si>
  <si>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</si>
  <si>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</si>
  <si>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</si>
  <si>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</si>
  <si>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</si>
  <si>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</si>
  <si>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</si>
  <si>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</si>
  <si>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</si>
  <si>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</si>
  <si>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</si>
  <si>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</si>
  <si>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</si>
  <si>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</si>
  <si>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</si>
  <si>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</si>
  <si>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</si>
  <si>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</si>
  <si>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</si>
  <si>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</si>
  <si>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</si>
  <si>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</si>
  <si>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</si>
  <si>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</si>
  <si>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</si>
  <si>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</si>
  <si>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</si>
  <si>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</si>
  <si>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</si>
  <si>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</si>
  <si>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</si>
  <si>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</si>
  <si>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</si>
  <si>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</si>
  <si>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</si>
  <si>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</si>
  <si>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</si>
  <si>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</si>
  <si>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</si>
  <si>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</si>
  <si>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</si>
  <si>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</si>
  <si>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</si>
  <si>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</si>
  <si>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</si>
  <si>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</si>
  <si>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</si>
  <si>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</si>
  <si>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</si>
  <si>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</si>
  <si>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February</t>
  </si>
  <si>
    <t>Beans</t>
  </si>
  <si>
    <t>Shop_common variety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</si>
  <si>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</si>
  <si>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</si>
  <si>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</si>
  <si>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</si>
  <si>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</si>
  <si>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</si>
  <si>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</si>
  <si>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</si>
  <si>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</si>
  <si>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</si>
  <si>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</si>
  <si>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</si>
  <si>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</si>
  <si>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</si>
  <si>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</si>
  <si>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</si>
  <si>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Pigs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</si>
  <si>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</si>
  <si>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</si>
  <si>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</si>
  <si>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</si>
  <si>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</si>
  <si>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General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</si>
  <si>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</si>
  <si>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</si>
  <si>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</si>
  <si>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</si>
  <si>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</si>
  <si>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</si>
  <si>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</si>
  <si>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</si>
  <si>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</si>
  <si>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</si>
  <si>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</si>
  <si>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</si>
  <si>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</si>
  <si>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</si>
  <si>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</si>
  <si>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</si>
  <si>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</si>
  <si>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</si>
  <si>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</si>
  <si>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</si>
  <si>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</si>
  <si>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</si>
  <si>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</si>
  <si>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</si>
  <si>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</si>
  <si>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</si>
  <si>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</si>
  <si>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6/15/2016</t>
  </si>
  <si>
    <t xml:space="preserve">Juhudi Kilimo Microfinance </t>
  </si>
  <si>
    <t xml:space="preserve">Cleared </t>
  </si>
  <si>
    <t>7/3/2015</t>
  </si>
  <si>
    <t xml:space="preserve">Imenti SACCO </t>
  </si>
  <si>
    <t xml:space="preserve">Fully settled </t>
  </si>
  <si>
    <t>9/23/2017</t>
  </si>
  <si>
    <t xml:space="preserve">MBanking </t>
  </si>
  <si>
    <t>The client has cleared the loan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</si>
  <si>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</si>
  <si>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</si>
  <si>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</si>
  <si>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</si>
  <si>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</si>
  <si>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</si>
  <si>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</si>
  <si>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</si>
  <si>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</si>
  <si>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</si>
  <si>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</si>
  <si>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</si>
  <si>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2018/1/12</t>
  </si>
  <si>
    <t>Loan terms</t>
  </si>
  <si>
    <t>Expected disbursement date</t>
  </si>
  <si>
    <t>Expected first repayment date</t>
  </si>
  <si>
    <t>2018/2/21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</si>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</sst>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General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0.502909545169024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0.06694766949152542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248416.5333333334</v>
      </c>
    </row>
    <row r="18" spans="1:7">
      <c r="B18" s="1" t="s">
        <v>12</v>
      </c>
      <c r="C18" s="36">
        <f>MIN(Output!B6:M6)</f>
        <v>5150.599999999999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24983.6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93666.66666666667</v>
      </c>
    </row>
    <row r="25" spans="1:7">
      <c r="B25" s="1" t="s">
        <v>18</v>
      </c>
      <c r="C25" s="36">
        <f>MAX(Inputs!A56:A60)</f>
        <v>170000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21473.93333333333</v>
      </c>
      <c r="C6" s="51">
        <f>C30-C88</f>
        <v>5150.599999999999</v>
      </c>
      <c r="D6" s="51">
        <f>D30-D88</f>
        <v>22886.6</v>
      </c>
      <c r="E6" s="51">
        <f>E30-E88</f>
        <v>22886.6</v>
      </c>
      <c r="F6" s="51">
        <f>F30-F88</f>
        <v>22886.6</v>
      </c>
      <c r="G6" s="51">
        <f>G30-G88</f>
        <v>24169.1</v>
      </c>
      <c r="H6" s="51">
        <f>H30-H88</f>
        <v>24983.6</v>
      </c>
      <c r="I6" s="51">
        <f>I30-I88</f>
        <v>11150.6</v>
      </c>
      <c r="J6" s="51">
        <f>J30-J88</f>
        <v>22886.6</v>
      </c>
      <c r="K6" s="51">
        <f>K30-K88</f>
        <v>22886.6</v>
      </c>
      <c r="L6" s="51">
        <f>L30-L88</f>
        <v>22886.6</v>
      </c>
      <c r="M6" s="51">
        <f>M30-M88</f>
        <v>24169.1</v>
      </c>
      <c r="N6" s="51">
        <f>N30-N88</f>
        <v>24983.6</v>
      </c>
      <c r="O6" s="51">
        <f>O30-O88</f>
        <v>5150.599999999999</v>
      </c>
      <c r="P6" s="51">
        <f>P30-P88</f>
        <v>22886.6</v>
      </c>
      <c r="Q6" s="51">
        <f>Q30-Q88</f>
        <v>22886.6</v>
      </c>
      <c r="R6" s="51">
        <f>R30-R88</f>
        <v>22886.6</v>
      </c>
      <c r="S6" s="51">
        <f>S30-S88</f>
        <v>24169.1</v>
      </c>
      <c r="T6" s="51">
        <f>T30-T88</f>
        <v>24983.6</v>
      </c>
      <c r="U6" s="51">
        <f>U30-U88</f>
        <v>11150.6</v>
      </c>
      <c r="V6" s="51">
        <f>V30-V88</f>
        <v>22886.6</v>
      </c>
      <c r="W6" s="51">
        <f>W30-W88</f>
        <v>22886.6</v>
      </c>
      <c r="X6" s="51">
        <f>X30-X88</f>
        <v>22886.6</v>
      </c>
      <c r="Y6" s="51">
        <f>Y30-Y88</f>
        <v>24169.1</v>
      </c>
      <c r="Z6" s="51">
        <f>SUMIF($B$13:$Y$13,"Yes",B6:Y6)</f>
        <v>500342.7333333331</v>
      </c>
      <c r="AA6" s="51">
        <f>AA30-AA88</f>
        <v>248416.5333333333</v>
      </c>
      <c r="AB6" s="51">
        <f>AB30-AB88</f>
        <v>500342.733333333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-51</v>
      </c>
      <c r="H7" s="80">
        <f>IF(ISERROR(VLOOKUP(MONTH(H5),Inputs!$D$66:$D$71,1,0)),"",INDEX(Inputs!$B$66:$B$71,MATCH(MONTH(Output!H5),Inputs!$D$66:$D$71,0))-INDEX(Inputs!$C$66:$C$71,MATCH(MONTH(Output!H5),Inputs!$D$66:$D$71,0)))</f>
        <v>583</v>
      </c>
      <c r="I7" s="80">
        <f>IF(ISERROR(VLOOKUP(MONTH(I5),Inputs!$D$66:$D$71,1,0)),"",INDEX(Inputs!$B$66:$B$71,MATCH(MONTH(Output!I5),Inputs!$D$66:$D$71,0))-INDEX(Inputs!$C$66:$C$71,MATCH(MONTH(Output!I5),Inputs!$D$66:$D$71,0)))</f>
        <v>-1582</v>
      </c>
      <c r="J7" s="80">
        <f>IF(ISERROR(VLOOKUP(MONTH(J5),Inputs!$D$66:$D$71,1,0)),"",INDEX(Inputs!$B$66:$B$71,MATCH(MONTH(Output!J5),Inputs!$D$66:$D$71,0))-INDEX(Inputs!$C$66:$C$71,MATCH(MONTH(Output!J5),Inputs!$D$66:$D$71,0)))</f>
        <v>3</v>
      </c>
      <c r="K7" s="80">
        <f>IF(ISERROR(VLOOKUP(MONTH(K5),Inputs!$D$66:$D$71,1,0)),"",INDEX(Inputs!$B$66:$B$71,MATCH(MONTH(Output!K5),Inputs!$D$66:$D$71,0))-INDEX(Inputs!$C$66:$C$71,MATCH(MONTH(Output!K5),Inputs!$D$66:$D$71,0)))</f>
        <v>7</v>
      </c>
      <c r="L7" s="80">
        <f>IF(ISERROR(VLOOKUP(MONTH(L5),Inputs!$D$66:$D$71,1,0)),"",INDEX(Inputs!$B$66:$B$71,MATCH(MONTH(Output!L5),Inputs!$D$66:$D$71,0))-INDEX(Inputs!$C$66:$C$71,MATCH(MONTH(Output!L5),Inputs!$D$66:$D$71,0)))</f>
        <v>90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-51</v>
      </c>
      <c r="T7" s="80">
        <f>IF(ISERROR(VLOOKUP(MONTH(T5),Inputs!$D$66:$D$71,1,0)),"",INDEX(Inputs!$B$66:$B$71,MATCH(MONTH(Output!T5),Inputs!$D$66:$D$71,0))-INDEX(Inputs!$C$66:$C$71,MATCH(MONTH(Output!T5),Inputs!$D$66:$D$71,0)))</f>
        <v>583</v>
      </c>
      <c r="U7" s="80">
        <f>IF(ISERROR(VLOOKUP(MONTH(U5),Inputs!$D$66:$D$71,1,0)),"",INDEX(Inputs!$B$66:$B$71,MATCH(MONTH(Output!U5),Inputs!$D$66:$D$71,0))-INDEX(Inputs!$C$66:$C$71,MATCH(MONTH(Output!U5),Inputs!$D$66:$D$71,0)))</f>
        <v>-1582</v>
      </c>
      <c r="V7" s="80">
        <f>IF(ISERROR(VLOOKUP(MONTH(V5),Inputs!$D$66:$D$71,1,0)),"",INDEX(Inputs!$B$66:$B$71,MATCH(MONTH(Output!V5),Inputs!$D$66:$D$71,0))-INDEX(Inputs!$C$66:$C$71,MATCH(MONTH(Output!V5),Inputs!$D$66:$D$71,0)))</f>
        <v>3</v>
      </c>
      <c r="W7" s="80">
        <f>IF(ISERROR(VLOOKUP(MONTH(W5),Inputs!$D$66:$D$71,1,0)),"",INDEX(Inputs!$B$66:$B$71,MATCH(MONTH(Output!W5),Inputs!$D$66:$D$71,0))-INDEX(Inputs!$C$66:$C$71,MATCH(MONTH(Output!W5),Inputs!$D$66:$D$71,0)))</f>
        <v>7</v>
      </c>
      <c r="X7" s="80">
        <f>IF(ISERROR(VLOOKUP(MONTH(X5),Inputs!$D$66:$D$71,1,0)),"",INDEX(Inputs!$B$66:$B$71,MATCH(MONTH(Output!X5),Inputs!$D$66:$D$71,0))-INDEX(Inputs!$C$66:$C$71,MATCH(MONTH(Output!X5),Inputs!$D$66:$D$71,0)))</f>
        <v>90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321473.9333333333</v>
      </c>
      <c r="C11" s="80">
        <f>C6+C9-C10</f>
        <v>-12349.4</v>
      </c>
      <c r="D11" s="80">
        <f>D6+D9-D10</f>
        <v>5386.599999999999</v>
      </c>
      <c r="E11" s="80">
        <f>E6+E9-E10</f>
        <v>5386.599999999999</v>
      </c>
      <c r="F11" s="80">
        <f>F6+F9-F10</f>
        <v>5386.599999999999</v>
      </c>
      <c r="G11" s="80">
        <f>G6+G9-G10</f>
        <v>6669.099999999999</v>
      </c>
      <c r="H11" s="80">
        <f>H6+H9-H10</f>
        <v>7483.599999999999</v>
      </c>
      <c r="I11" s="80">
        <f>I6+I9-I10</f>
        <v>-6349.400000000001</v>
      </c>
      <c r="J11" s="80">
        <f>J6+J9-J10</f>
        <v>5386.599999999999</v>
      </c>
      <c r="K11" s="80">
        <f>K6+K9-K10</f>
        <v>5386.599999999999</v>
      </c>
      <c r="L11" s="80">
        <f>L6+L9-L10</f>
        <v>5386.599999999999</v>
      </c>
      <c r="M11" s="80">
        <f>M6+M9-M10</f>
        <v>6669.099999999999</v>
      </c>
      <c r="N11" s="80">
        <f>N6+N9-N10</f>
        <v>7483.599999999999</v>
      </c>
      <c r="O11" s="80">
        <f>O6+O9-O10</f>
        <v>-12349.4</v>
      </c>
      <c r="P11" s="80">
        <f>P6+P9-P10</f>
        <v>5386.599999999999</v>
      </c>
      <c r="Q11" s="80">
        <f>Q6+Q9-Q10</f>
        <v>5386.599999999999</v>
      </c>
      <c r="R11" s="80">
        <f>R6+R9-R10</f>
        <v>5386.599999999999</v>
      </c>
      <c r="S11" s="80">
        <f>S6+S9-S10</f>
        <v>6669.099999999999</v>
      </c>
      <c r="T11" s="80">
        <f>T6+T9-T10</f>
        <v>7483.599999999999</v>
      </c>
      <c r="U11" s="80">
        <f>U6+U9-U10</f>
        <v>-6349.400000000001</v>
      </c>
      <c r="V11" s="80">
        <f>V6+V9-V10</f>
        <v>5386.599999999999</v>
      </c>
      <c r="W11" s="80">
        <f>W6+W9-W10</f>
        <v>5386.599999999999</v>
      </c>
      <c r="X11" s="80">
        <f>X6+X9-X10</f>
        <v>5386.599999999999</v>
      </c>
      <c r="Y11" s="80">
        <f>Y6+Y9-Y10</f>
        <v>6669.099999999999</v>
      </c>
      <c r="Z11" s="85">
        <f>SUMIF($B$13:$Y$13,"Yes",B11:Y11)</f>
        <v>397842.7333333328</v>
      </c>
      <c r="AA11" s="80">
        <f>SUM(B11:M11)</f>
        <v>355916.5333333331</v>
      </c>
      <c r="AB11" s="46">
        <f>SUM(B11:Y11)</f>
        <v>397842.7333333328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0.05357833908373488</v>
      </c>
      <c r="D12" s="82">
        <f>IF(D13="Yes",IF(SUM($B$10:D10)/(SUM($B$6:D6)+SUM($B$9:D9))&lt;0,999.99,SUM($B$10:D10)/(SUM($B$6:D6)+SUM($B$9:D9))),"")</f>
        <v>0.1001398715577396</v>
      </c>
      <c r="E12" s="82">
        <f>IF(E13="Yes",IF(SUM($B$10:E10)/(SUM($B$6:E6)+SUM($B$9:E9))&lt;0,999.99,SUM($B$10:E10)/(SUM($B$6:E6)+SUM($B$9:E9))),"")</f>
        <v>0.1409783016939237</v>
      </c>
      <c r="F12" s="82">
        <f>IF(F13="Yes",IF(SUM($B$10:F10)/(SUM($B$6:F6)+SUM($B$9:F9))&lt;0,999.99,SUM($B$10:F10)/(SUM($B$6:F6)+SUM($B$9:F9))),"")</f>
        <v>0.1770877166056838</v>
      </c>
      <c r="G12" s="82">
        <f>IF(G13="Yes",IF(SUM($B$10:G10)/(SUM($B$6:G6)+SUM($B$9:G9))&lt;0,999.99,SUM($B$10:G10)/(SUM($B$6:G6)+SUM($B$9:G9))),"")</f>
        <v>0.2086048010255886</v>
      </c>
      <c r="H12" s="82">
        <f>IF(H13="Yes",IF(SUM($B$10:H10)/(SUM($B$6:H6)+SUM($B$9:H9))&lt;0,999.99,SUM($B$10:H10)/(SUM($B$6:H6)+SUM($B$9:H9))),"")</f>
        <v>0.2362539395344417</v>
      </c>
      <c r="I12" s="82">
        <f>IF(I13="Yes",IF(SUM($B$10:I10)/(SUM($B$6:I6)+SUM($B$9:I9))&lt;0,999.99,SUM($B$10:I10)/(SUM($B$6:I6)+SUM($B$9:I9))),"")</f>
        <v>0.268883505690709</v>
      </c>
      <c r="J12" s="82">
        <f>IF(J13="Yes",IF(SUM($B$10:J10)/(SUM($B$6:J6)+SUM($B$9:J9))&lt;0,999.99,SUM($B$10:J10)/(SUM($B$6:J6)+SUM($B$9:J9))),"")</f>
        <v>0.2925967382290944</v>
      </c>
      <c r="K12" s="82">
        <f>IF(K13="Yes",IF(SUM($B$10:K10)/(SUM($B$6:K6)+SUM($B$9:K9))&lt;0,999.99,SUM($B$10:K10)/(SUM($B$6:K6)+SUM($B$9:K9))),"")</f>
        <v>0.3141450020195036</v>
      </c>
      <c r="L12" s="82">
        <f>IF(L13="Yes",IF(SUM($B$10:L10)/(SUM($B$6:L6)+SUM($B$9:L9))&lt;0,999.99,SUM($B$10:L10)/(SUM($B$6:L6)+SUM($B$9:L9))),"")</f>
        <v>0.3338118393585522</v>
      </c>
      <c r="M12" s="82">
        <f>IF(M13="Yes",IF(SUM($B$10:M10)/(SUM($B$6:M6)+SUM($B$9:M9))&lt;0,999.99,SUM($B$10:M10)/(SUM($B$6:M6)+SUM($B$9:M9))),"")</f>
        <v>0.3510105700679094</v>
      </c>
      <c r="N12" s="82">
        <f>IF(N13="Yes",IF(SUM($B$10:N10)/(SUM($B$6:N6)+SUM($B$9:N9))&lt;0,999.99,SUM($B$10:N10)/(SUM($B$6:N6)+SUM($B$9:N9))),"")</f>
        <v>0.3662363989683993</v>
      </c>
      <c r="O12" s="82">
        <f>IF(O13="Yes",IF(SUM($B$10:O10)/(SUM($B$6:O6)+SUM($B$9:O9))&lt;0,999.99,SUM($B$10:O10)/(SUM($B$6:O6)+SUM($B$9:O9))),"")</f>
        <v>0.3932239419856121</v>
      </c>
      <c r="P12" s="82">
        <f>IF(P13="Yes",IF(SUM($B$10:P10)/(SUM($B$6:P6)+SUM($B$9:P9))&lt;0,999.99,SUM($B$10:P10)/(SUM($B$6:P6)+SUM($B$9:P9))),"")</f>
        <v>0.4073574858450202</v>
      </c>
      <c r="Q12" s="82">
        <f>IF(Q13="Yes",IF(SUM($B$10:Q10)/(SUM($B$6:Q6)+SUM($B$9:Q9))&lt;0,999.99,SUM($B$10:Q10)/(SUM($B$6:Q6)+SUM($B$9:Q9))),"")</f>
        <v>0.4204548087696782</v>
      </c>
      <c r="R12" s="82">
        <f>IF(R13="Yes",IF(SUM($B$10:R10)/(SUM($B$6:R6)+SUM($B$9:R9))&lt;0,999.99,SUM($B$10:R10)/(SUM($B$6:R6)+SUM($B$9:R9))),"")</f>
        <v>0.4326258390108608</v>
      </c>
      <c r="S12" s="82">
        <f>IF(S13="Yes",IF(SUM($B$10:S10)/(SUM($B$6:S6)+SUM($B$9:S9))&lt;0,999.99,SUM($B$10:S10)/(SUM($B$6:S6)+SUM($B$9:S9))),"")</f>
        <v>0.4431174036706207</v>
      </c>
      <c r="T12" s="82">
        <f>IF(T13="Yes",IF(SUM($B$10:T10)/(SUM($B$6:T6)+SUM($B$9:T9))&lt;0,999.99,SUM($B$10:T10)/(SUM($B$6:T6)+SUM($B$9:T9))),"")</f>
        <v>0.4523501312557331</v>
      </c>
      <c r="U12" s="82">
        <f>IF(U13="Yes",IF(SUM($B$10:U10)/(SUM($B$6:U6)+SUM($B$9:U9))&lt;0,999.99,SUM($B$10:U10)/(SUM($B$6:U6)+SUM($B$9:U9))),"")</f>
        <v>0.4699554755466501</v>
      </c>
      <c r="V12" s="82">
        <f>IF(V13="Yes",IF(SUM($B$10:V10)/(SUM($B$6:V6)+SUM($B$9:V9))&lt;0,999.99,SUM($B$10:V10)/(SUM($B$6:V6)+SUM($B$9:V9))),"")</f>
        <v>0.4791892009191489</v>
      </c>
      <c r="W12" s="82">
        <f>IF(W13="Yes",IF(SUM($B$10:W10)/(SUM($B$6:W6)+SUM($B$9:W9))&lt;0,999.99,SUM($B$10:W10)/(SUM($B$6:W6)+SUM($B$9:W9))),"")</f>
        <v>0.4878618424822659</v>
      </c>
      <c r="X12" s="82">
        <f>IF(X13="Yes",IF(SUM($B$10:X10)/(SUM($B$6:X6)+SUM($B$9:X9))&lt;0,999.99,SUM($B$10:X10)/(SUM($B$6:X6)+SUM($B$9:X9))),"")</f>
        <v>0.4960230333341652</v>
      </c>
      <c r="Y12" s="82">
        <f>IF(Y13="Yes",IF(SUM($B$10:Y10)/(SUM($B$6:Y6)+SUM($B$9:Y9))&lt;0,999.99,SUM($B$10:Y10)/(SUM($B$6:Y6)+SUM($B$9:Y9))),"")</f>
        <v>0.502909545169024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1617</v>
      </c>
      <c r="C19" s="36">
        <f>O19</f>
        <v>1764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1470</v>
      </c>
      <c r="H19" s="36">
        <f>T19</f>
        <v>1617</v>
      </c>
      <c r="I19" s="36">
        <f>U19</f>
        <v>1764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1470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1617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1764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1470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1617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1764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1470</v>
      </c>
      <c r="Z19" s="36">
        <f>SUMIF($B$13:$Y$13,"Yes",B19:Y19)</f>
        <v>19404</v>
      </c>
      <c r="AA19" s="36">
        <f>SUM(B19:M19)</f>
        <v>9702</v>
      </c>
      <c r="AB19" s="36">
        <f>SUM(B19:Y19)</f>
        <v>19404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31999.99999999999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18250</v>
      </c>
      <c r="C24" s="36">
        <f>IFERROR(Calculations!$P14/12,"")</f>
        <v>18250</v>
      </c>
      <c r="D24" s="36">
        <f>IFERROR(Calculations!$P14/12,"")</f>
        <v>18250</v>
      </c>
      <c r="E24" s="36">
        <f>IFERROR(Calculations!$P14/12,"")</f>
        <v>18250</v>
      </c>
      <c r="F24" s="36">
        <f>IFERROR(Calculations!$P14/12,"")</f>
        <v>18250</v>
      </c>
      <c r="G24" s="36">
        <f>IFERROR(Calculations!$P14/12,"")</f>
        <v>18250</v>
      </c>
      <c r="H24" s="36">
        <f>IFERROR(Calculations!$P14/12,"")</f>
        <v>18250</v>
      </c>
      <c r="I24" s="36">
        <f>IFERROR(Calculations!$P14/12,"")</f>
        <v>18250</v>
      </c>
      <c r="J24" s="36">
        <f>IFERROR(Calculations!$P14/12,"")</f>
        <v>18250</v>
      </c>
      <c r="K24" s="36">
        <f>IFERROR(Calculations!$P14/12,"")</f>
        <v>18250</v>
      </c>
      <c r="L24" s="36">
        <f>IFERROR(Calculations!$P14/12,"")</f>
        <v>18250</v>
      </c>
      <c r="M24" s="36">
        <f>IFERROR(Calculations!$P14/12,"")</f>
        <v>18250</v>
      </c>
      <c r="N24" s="36">
        <f>IFERROR(Calculations!$P14/12,"")</f>
        <v>18250</v>
      </c>
      <c r="O24" s="36">
        <f>IFERROR(Calculations!$P14/12,"")</f>
        <v>18250</v>
      </c>
      <c r="P24" s="36">
        <f>IFERROR(Calculations!$P14/12,"")</f>
        <v>18250</v>
      </c>
      <c r="Q24" s="36">
        <f>IFERROR(Calculations!$P14/12,"")</f>
        <v>18250</v>
      </c>
      <c r="R24" s="36">
        <f>IFERROR(Calculations!$P14/12,"")</f>
        <v>18250</v>
      </c>
      <c r="S24" s="36">
        <f>IFERROR(Calculations!$P14/12,"")</f>
        <v>18250</v>
      </c>
      <c r="T24" s="36">
        <f>IFERROR(Calculations!$P14/12,"")</f>
        <v>18250</v>
      </c>
      <c r="U24" s="36">
        <f>IFERROR(Calculations!$P14/12,"")</f>
        <v>18250</v>
      </c>
      <c r="V24" s="36">
        <f>IFERROR(Calculations!$P14/12,"")</f>
        <v>18250</v>
      </c>
      <c r="W24" s="36">
        <f>IFERROR(Calculations!$P14/12,"")</f>
        <v>18250</v>
      </c>
      <c r="X24" s="36">
        <f>IFERROR(Calculations!$P14/12,"")</f>
        <v>18250</v>
      </c>
      <c r="Y24" s="36">
        <f>IFERROR(Calculations!$P14/12,"")</f>
        <v>18250</v>
      </c>
      <c r="Z24" s="36">
        <f>SUMIF($B$13:$Y$13,"Yes",B24:Y24)</f>
        <v>438000</v>
      </c>
      <c r="AA24" s="36">
        <f>SUM(B24:M24)</f>
        <v>219000</v>
      </c>
      <c r="AB24" s="46">
        <f>SUM(B24:Y24)</f>
        <v>438000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6600</v>
      </c>
      <c r="C25" s="36">
        <f>IFERROR(Calculations!$P15/12,"")</f>
        <v>6600</v>
      </c>
      <c r="D25" s="36">
        <f>IFERROR(Calculations!$P15/12,"")</f>
        <v>6600</v>
      </c>
      <c r="E25" s="36">
        <f>IFERROR(Calculations!$P15/12,"")</f>
        <v>6600</v>
      </c>
      <c r="F25" s="36">
        <f>IFERROR(Calculations!$P15/12,"")</f>
        <v>6600</v>
      </c>
      <c r="G25" s="36">
        <f>IFERROR(Calculations!$P15/12,"")</f>
        <v>6600</v>
      </c>
      <c r="H25" s="36">
        <f>IFERROR(Calculations!$P15/12,"")</f>
        <v>6600</v>
      </c>
      <c r="I25" s="36">
        <f>IFERROR(Calculations!$P15/12,"")</f>
        <v>6600</v>
      </c>
      <c r="J25" s="36">
        <f>IFERROR(Calculations!$P15/12,"")</f>
        <v>6600</v>
      </c>
      <c r="K25" s="36">
        <f>IFERROR(Calculations!$P15/12,"")</f>
        <v>6600</v>
      </c>
      <c r="L25" s="36">
        <f>IFERROR(Calculations!$P15/12,"")</f>
        <v>6600</v>
      </c>
      <c r="M25" s="36">
        <f>IFERROR(Calculations!$P15/12,"")</f>
        <v>6600</v>
      </c>
      <c r="N25" s="36">
        <f>IFERROR(Calculations!$P15/12,"")</f>
        <v>6600</v>
      </c>
      <c r="O25" s="36">
        <f>IFERROR(Calculations!$P15/12,"")</f>
        <v>6600</v>
      </c>
      <c r="P25" s="36">
        <f>IFERROR(Calculations!$P15/12,"")</f>
        <v>6600</v>
      </c>
      <c r="Q25" s="36">
        <f>IFERROR(Calculations!$P15/12,"")</f>
        <v>6600</v>
      </c>
      <c r="R25" s="36">
        <f>IFERROR(Calculations!$P15/12,"")</f>
        <v>6600</v>
      </c>
      <c r="S25" s="36">
        <f>IFERROR(Calculations!$P15/12,"")</f>
        <v>6600</v>
      </c>
      <c r="T25" s="36">
        <f>IFERROR(Calculations!$P15/12,"")</f>
        <v>6600</v>
      </c>
      <c r="U25" s="36">
        <f>IFERROR(Calculations!$P15/12,"")</f>
        <v>6600</v>
      </c>
      <c r="V25" s="36">
        <f>IFERROR(Calculations!$P15/12,"")</f>
        <v>6600</v>
      </c>
      <c r="W25" s="36">
        <f>IFERROR(Calculations!$P15/12,"")</f>
        <v>6600</v>
      </c>
      <c r="X25" s="36">
        <f>IFERROR(Calculations!$P15/12,"")</f>
        <v>6600</v>
      </c>
      <c r="Y25" s="36">
        <f>IFERROR(Calculations!$P15/12,"")</f>
        <v>6600</v>
      </c>
      <c r="Z25" s="36">
        <f>SUMIF($B$13:$Y$13,"Yes",B25:Y25)</f>
        <v>158400</v>
      </c>
      <c r="AA25" s="36">
        <f>SUM(B25:M25)</f>
        <v>79200</v>
      </c>
      <c r="AB25" s="46">
        <f>SUM(B25:Y25)</f>
        <v>158400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720000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56467</v>
      </c>
      <c r="C30" s="19">
        <f>SUM(C18:C29)</f>
        <v>56614</v>
      </c>
      <c r="D30" s="19">
        <f>SUM(D18:D29)</f>
        <v>54850</v>
      </c>
      <c r="E30" s="19">
        <f>SUM(E18:E29)</f>
        <v>54850</v>
      </c>
      <c r="F30" s="19">
        <f>SUM(F18:F29)</f>
        <v>54850</v>
      </c>
      <c r="G30" s="19">
        <f>SUM(G18:G29)</f>
        <v>56320</v>
      </c>
      <c r="H30" s="19">
        <f>SUM(H18:H29)</f>
        <v>56467</v>
      </c>
      <c r="I30" s="19">
        <f>SUM(I18:I29)</f>
        <v>56614</v>
      </c>
      <c r="J30" s="19">
        <f>SUM(J18:J29)</f>
        <v>54850</v>
      </c>
      <c r="K30" s="19">
        <f>SUM(K18:K29)</f>
        <v>54850</v>
      </c>
      <c r="L30" s="19">
        <f>SUM(L18:L29)</f>
        <v>54850</v>
      </c>
      <c r="M30" s="19">
        <f>SUM(M18:M29)</f>
        <v>56320</v>
      </c>
      <c r="N30" s="19">
        <f>SUM(N18:N29)</f>
        <v>56467</v>
      </c>
      <c r="O30" s="19">
        <f>SUM(O18:O29)</f>
        <v>56614</v>
      </c>
      <c r="P30" s="19">
        <f>SUM(P18:P29)</f>
        <v>54850</v>
      </c>
      <c r="Q30" s="19">
        <f>SUM(Q18:Q29)</f>
        <v>54850</v>
      </c>
      <c r="R30" s="19">
        <f>SUM(R18:R29)</f>
        <v>54850</v>
      </c>
      <c r="S30" s="19">
        <f>SUM(S18:S29)</f>
        <v>56320</v>
      </c>
      <c r="T30" s="19">
        <f>SUM(T18:T29)</f>
        <v>56467</v>
      </c>
      <c r="U30" s="19">
        <f>SUM(U18:U29)</f>
        <v>56614</v>
      </c>
      <c r="V30" s="19">
        <f>SUM(V18:V29)</f>
        <v>54850</v>
      </c>
      <c r="W30" s="19">
        <f>SUM(W18:W29)</f>
        <v>54850</v>
      </c>
      <c r="X30" s="19">
        <f>SUM(X18:X29)</f>
        <v>54850</v>
      </c>
      <c r="Y30" s="19">
        <f>SUM(Y18:Y29)</f>
        <v>56320</v>
      </c>
      <c r="Z30" s="19">
        <f>SUMIF($B$13:$Y$13,"Yes",B30:Y30)</f>
        <v>1335804</v>
      </c>
      <c r="AA30" s="19">
        <f>SUM(B30:M30)</f>
        <v>667902</v>
      </c>
      <c r="AB30" s="19">
        <f>SUM(B30:Y30)</f>
        <v>1335804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36000</v>
      </c>
      <c r="AA36" s="36">
        <f>SUM(B36:M36)</f>
        <v>18000</v>
      </c>
      <c r="AB36" s="36">
        <f>SUM(B36:Y36)</f>
        <v>36000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6000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6000</v>
      </c>
      <c r="AB37" s="36">
        <f>SUM(B37:Y37)</f>
        <v>12000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6000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6000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6000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6000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24000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30000</v>
      </c>
      <c r="AA42" s="36">
        <f>SUM(B42:M42)</f>
        <v>15000</v>
      </c>
      <c r="AB42" s="36">
        <f>SUM(B42:Y42)</f>
        <v>30000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7500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7500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7500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30000</v>
      </c>
      <c r="AA44" s="36">
        <f>SUM(B44:M44)</f>
        <v>15000</v>
      </c>
      <c r="AB44" s="36">
        <f>SUM(B44:Y44)</f>
        <v>30000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187.5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187.5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187.5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187.5</v>
      </c>
      <c r="Z54" s="46">
        <f>SUMIF($B$13:$Y$13,"Yes",B54:Y54)</f>
        <v>750</v>
      </c>
      <c r="AA54" s="46">
        <f>SUM(B54:M54)</f>
        <v>375</v>
      </c>
      <c r="AB54" s="46">
        <f>SUM(B54:Y54)</f>
        <v>750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187.5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187.5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187.5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187.5</v>
      </c>
      <c r="Z56" s="46">
        <f>SUMIF($B$13:$Y$13,"Yes",B56:Y56)</f>
        <v>750</v>
      </c>
      <c r="AA56" s="46">
        <f>SUM(B56:M56)</f>
        <v>375</v>
      </c>
      <c r="AB56" s="46">
        <f>SUM(B56:Y56)</f>
        <v>750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479.9999999999998</v>
      </c>
      <c r="D66" s="36">
        <f>P66</f>
        <v>479.9999999999998</v>
      </c>
      <c r="E66" s="36">
        <f>Q66</f>
        <v>479.9999999999998</v>
      </c>
      <c r="F66" s="36">
        <f>R66</f>
        <v>479.9999999999998</v>
      </c>
      <c r="G66" s="36">
        <f>S66</f>
        <v>479.9999999999998</v>
      </c>
      <c r="H66" s="36">
        <f>T66</f>
        <v>0</v>
      </c>
      <c r="I66" s="36">
        <f>U66</f>
        <v>479.9999999999998</v>
      </c>
      <c r="J66" s="36">
        <f>V66</f>
        <v>479.9999999999998</v>
      </c>
      <c r="K66" s="36">
        <f>W66</f>
        <v>479.9999999999998</v>
      </c>
      <c r="L66" s="36">
        <f>X66</f>
        <v>479.9999999999998</v>
      </c>
      <c r="M66" s="36">
        <f>Y66</f>
        <v>479.9999999999998</v>
      </c>
      <c r="N66" s="46">
        <f>SUM(N67:N71)</f>
        <v>0</v>
      </c>
      <c r="O66" s="46">
        <f>SUM(O67:O71)</f>
        <v>479.9999999999998</v>
      </c>
      <c r="P66" s="46">
        <f>SUM(P67:P71)</f>
        <v>479.9999999999998</v>
      </c>
      <c r="Q66" s="46">
        <f>SUM(Q67:Q71)</f>
        <v>479.9999999999998</v>
      </c>
      <c r="R66" s="46">
        <f>SUM(R67:R71)</f>
        <v>479.9999999999998</v>
      </c>
      <c r="S66" s="46">
        <f>SUM(S67:S71)</f>
        <v>479.9999999999998</v>
      </c>
      <c r="T66" s="46">
        <f>SUM(T67:T71)</f>
        <v>0</v>
      </c>
      <c r="U66" s="46">
        <f>SUM(U67:U71)</f>
        <v>479.9999999999998</v>
      </c>
      <c r="V66" s="46">
        <f>SUM(V67:V71)</f>
        <v>479.9999999999998</v>
      </c>
      <c r="W66" s="46">
        <f>SUM(W67:W71)</f>
        <v>479.9999999999998</v>
      </c>
      <c r="X66" s="46">
        <f>SUM(X67:X71)</f>
        <v>479.9999999999998</v>
      </c>
      <c r="Y66" s="46">
        <f>SUM(Y67:Y71)</f>
        <v>479.9999999999998</v>
      </c>
      <c r="Z66" s="46">
        <f>SUMIF($B$13:$Y$13,"Yes",B66:Y66)</f>
        <v>9599.999999999998</v>
      </c>
      <c r="AA66" s="46">
        <f>SUM(B66:M66)</f>
        <v>4799.999999999999</v>
      </c>
      <c r="AB66" s="46">
        <f>SUM(B66:Y66)</f>
        <v>9599.999999999998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479.9999999999998</v>
      </c>
      <c r="D68" s="36">
        <f>P68</f>
        <v>479.9999999999998</v>
      </c>
      <c r="E68" s="36">
        <f>Q68</f>
        <v>479.9999999999998</v>
      </c>
      <c r="F68" s="36">
        <f>R68</f>
        <v>479.9999999999998</v>
      </c>
      <c r="G68" s="36">
        <f>S68</f>
        <v>479.9999999999998</v>
      </c>
      <c r="H68" s="36">
        <f>T68</f>
        <v>0</v>
      </c>
      <c r="I68" s="36">
        <f>U68</f>
        <v>479.9999999999998</v>
      </c>
      <c r="J68" s="36">
        <f>V68</f>
        <v>479.9999999999998</v>
      </c>
      <c r="K68" s="36">
        <f>W68</f>
        <v>479.9999999999998</v>
      </c>
      <c r="L68" s="36">
        <f>X68</f>
        <v>479.9999999999998</v>
      </c>
      <c r="M68" s="36">
        <f>Y68</f>
        <v>479.9999999999998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479.9999999999998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479.9999999999998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479.9999999999998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479.9999999999998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479.9999999999998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479.9999999999998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479.9999999999998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479.9999999999998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479.9999999999998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479.9999999999998</v>
      </c>
      <c r="Z68" s="46">
        <f>SUMIF($B$13:$Y$13,"Yes",B68:Y68)</f>
        <v>9599.999999999998</v>
      </c>
      <c r="AA68" s="46">
        <f>SUM(B68:M68)</f>
        <v>4799.999999999999</v>
      </c>
      <c r="AB68" s="46">
        <f>SUM(B68:Y68)</f>
        <v>9599.999999999998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3954.166666666667</v>
      </c>
      <c r="C74" s="46">
        <f>SUM(Calculations!$Q$14:$Q$16)/12</f>
        <v>3954.166666666667</v>
      </c>
      <c r="D74" s="46">
        <f>SUM(Calculations!$Q$14:$Q$16)/12</f>
        <v>3954.166666666667</v>
      </c>
      <c r="E74" s="46">
        <f>SUM(Calculations!$Q$14:$Q$16)/12</f>
        <v>3954.166666666667</v>
      </c>
      <c r="F74" s="46">
        <f>SUM(Calculations!$Q$14:$Q$16)/12</f>
        <v>3954.166666666667</v>
      </c>
      <c r="G74" s="46">
        <f>SUM(Calculations!$Q$14:$Q$16)/12</f>
        <v>3954.166666666667</v>
      </c>
      <c r="H74" s="46">
        <f>SUM(Calculations!$Q$14:$Q$16)/12</f>
        <v>3954.166666666667</v>
      </c>
      <c r="I74" s="46">
        <f>SUM(Calculations!$Q$14:$Q$16)/12</f>
        <v>3954.166666666667</v>
      </c>
      <c r="J74" s="46">
        <f>SUM(Calculations!$Q$14:$Q$16)/12</f>
        <v>3954.166666666667</v>
      </c>
      <c r="K74" s="46">
        <f>SUM(Calculations!$Q$14:$Q$16)/12</f>
        <v>3954.166666666667</v>
      </c>
      <c r="L74" s="46">
        <f>SUM(Calculations!$Q$14:$Q$16)/12</f>
        <v>3954.166666666667</v>
      </c>
      <c r="M74" s="46">
        <f>SUM(Calculations!$Q$14:$Q$16)/12</f>
        <v>3954.166666666667</v>
      </c>
      <c r="N74" s="46">
        <f>SUM(Calculations!$Q$14:$Q$16)/12</f>
        <v>3954.166666666667</v>
      </c>
      <c r="O74" s="46">
        <f>SUM(Calculations!$Q$14:$Q$16)/12</f>
        <v>3954.166666666667</v>
      </c>
      <c r="P74" s="46">
        <f>SUM(Calculations!$Q$14:$Q$16)/12</f>
        <v>3954.166666666667</v>
      </c>
      <c r="Q74" s="46">
        <f>SUM(Calculations!$Q$14:$Q$16)/12</f>
        <v>3954.166666666667</v>
      </c>
      <c r="R74" s="46">
        <f>SUM(Calculations!$Q$14:$Q$16)/12</f>
        <v>3954.166666666667</v>
      </c>
      <c r="S74" s="46">
        <f>SUM(Calculations!$Q$14:$Q$16)/12</f>
        <v>3954.166666666667</v>
      </c>
      <c r="T74" s="46">
        <f>SUM(Calculations!$Q$14:$Q$16)/12</f>
        <v>3954.166666666667</v>
      </c>
      <c r="U74" s="46">
        <f>SUM(Calculations!$Q$14:$Q$16)/12</f>
        <v>3954.166666666667</v>
      </c>
      <c r="V74" s="46">
        <f>SUM(Calculations!$Q$14:$Q$16)/12</f>
        <v>3954.166666666667</v>
      </c>
      <c r="W74" s="46">
        <f>SUM(Calculations!$Q$14:$Q$16)/12</f>
        <v>3954.166666666667</v>
      </c>
      <c r="X74" s="46">
        <f>SUM(Calculations!$Q$14:$Q$16)/12</f>
        <v>3954.166666666667</v>
      </c>
      <c r="Y74" s="46">
        <f>SUM(Calculations!$Q$14:$Q$16)/12</f>
        <v>3954.166666666667</v>
      </c>
      <c r="Z74" s="46">
        <f>SUMIF($B$13:$Y$13,"Yes",B74:Y74)</f>
        <v>94900.00000000001</v>
      </c>
      <c r="AA74" s="46">
        <f>SUM(B74:M74)</f>
        <v>47449.99999999999</v>
      </c>
      <c r="AB74" s="46">
        <f>SUM(B74:Y74)</f>
        <v>94900.00000000001</v>
      </c>
    </row>
    <row r="75" spans="1:30">
      <c r="A75" s="16" t="s">
        <v>47</v>
      </c>
      <c r="B75" s="46">
        <f>SUM(Calculations!$R$14:$R$16)/12</f>
        <v>200</v>
      </c>
      <c r="C75" s="46">
        <f>SUM(Calculations!$R$14:$R$16)/12</f>
        <v>200</v>
      </c>
      <c r="D75" s="46">
        <f>SUM(Calculations!$R$14:$R$16)/12</f>
        <v>200</v>
      </c>
      <c r="E75" s="46">
        <f>SUM(Calculations!$R$14:$R$16)/12</f>
        <v>200</v>
      </c>
      <c r="F75" s="46">
        <f>SUM(Calculations!$R$14:$R$16)/12</f>
        <v>200</v>
      </c>
      <c r="G75" s="46">
        <f>SUM(Calculations!$R$14:$R$16)/12</f>
        <v>200</v>
      </c>
      <c r="H75" s="46">
        <f>SUM(Calculations!$R$14:$R$16)/12</f>
        <v>200</v>
      </c>
      <c r="I75" s="46">
        <f>SUM(Calculations!$R$14:$R$16)/12</f>
        <v>200</v>
      </c>
      <c r="J75" s="46">
        <f>SUM(Calculations!$R$14:$R$16)/12</f>
        <v>200</v>
      </c>
      <c r="K75" s="46">
        <f>SUM(Calculations!$R$14:$R$16)/12</f>
        <v>200</v>
      </c>
      <c r="L75" s="46">
        <f>SUM(Calculations!$R$14:$R$16)/12</f>
        <v>200</v>
      </c>
      <c r="M75" s="46">
        <f>SUM(Calculations!$R$14:$R$16)/12</f>
        <v>200</v>
      </c>
      <c r="N75" s="46">
        <f>SUM(Calculations!$R$14:$R$16)/12</f>
        <v>200</v>
      </c>
      <c r="O75" s="46">
        <f>SUM(Calculations!$R$14:$R$16)/12</f>
        <v>200</v>
      </c>
      <c r="P75" s="46">
        <f>SUM(Calculations!$R$14:$R$16)/12</f>
        <v>200</v>
      </c>
      <c r="Q75" s="46">
        <f>SUM(Calculations!$R$14:$R$16)/12</f>
        <v>200</v>
      </c>
      <c r="R75" s="46">
        <f>SUM(Calculations!$R$14:$R$16)/12</f>
        <v>200</v>
      </c>
      <c r="S75" s="46">
        <f>SUM(Calculations!$R$14:$R$16)/12</f>
        <v>200</v>
      </c>
      <c r="T75" s="46">
        <f>SUM(Calculations!$R$14:$R$16)/12</f>
        <v>200</v>
      </c>
      <c r="U75" s="46">
        <f>SUM(Calculations!$R$14:$R$16)/12</f>
        <v>200</v>
      </c>
      <c r="V75" s="46">
        <f>SUM(Calculations!$R$14:$R$16)/12</f>
        <v>200</v>
      </c>
      <c r="W75" s="46">
        <f>SUM(Calculations!$R$14:$R$16)/12</f>
        <v>200</v>
      </c>
      <c r="X75" s="46">
        <f>SUM(Calculations!$R$14:$R$16)/12</f>
        <v>200</v>
      </c>
      <c r="Y75" s="46">
        <f>SUM(Calculations!$R$14:$R$16)/12</f>
        <v>200</v>
      </c>
      <c r="Z75" s="46">
        <f>SUMIF($B$13:$Y$13,"Yes",B75:Y75)</f>
        <v>4800</v>
      </c>
      <c r="AA75" s="46">
        <f>SUM(B75:M75)</f>
        <v>2400</v>
      </c>
      <c r="AB75" s="46">
        <f>SUM(B75:Y75)</f>
        <v>4800</v>
      </c>
    </row>
    <row r="76" spans="1:30">
      <c r="A76" s="16" t="s">
        <v>48</v>
      </c>
      <c r="B76" s="46">
        <f>SUM(Calculations!$S$14:$S$16)/12</f>
        <v>1333.333333333333</v>
      </c>
      <c r="C76" s="46">
        <f>SUM(Calculations!$S$14:$S$16)/12</f>
        <v>1333.333333333333</v>
      </c>
      <c r="D76" s="46">
        <f>SUM(Calculations!$S$14:$S$16)/12</f>
        <v>1333.333333333333</v>
      </c>
      <c r="E76" s="46">
        <f>SUM(Calculations!$S$14:$S$16)/12</f>
        <v>1333.333333333333</v>
      </c>
      <c r="F76" s="46">
        <f>SUM(Calculations!$S$14:$S$16)/12</f>
        <v>1333.333333333333</v>
      </c>
      <c r="G76" s="46">
        <f>SUM(Calculations!$S$14:$S$16)/12</f>
        <v>1333.333333333333</v>
      </c>
      <c r="H76" s="46">
        <f>SUM(Calculations!$S$14:$S$16)/12</f>
        <v>1333.333333333333</v>
      </c>
      <c r="I76" s="46">
        <f>SUM(Calculations!$S$14:$S$16)/12</f>
        <v>1333.333333333333</v>
      </c>
      <c r="J76" s="46">
        <f>SUM(Calculations!$S$14:$S$16)/12</f>
        <v>1333.333333333333</v>
      </c>
      <c r="K76" s="46">
        <f>SUM(Calculations!$S$14:$S$16)/12</f>
        <v>1333.333333333333</v>
      </c>
      <c r="L76" s="46">
        <f>SUM(Calculations!$S$14:$S$16)/12</f>
        <v>1333.333333333333</v>
      </c>
      <c r="M76" s="46">
        <f>SUM(Calculations!$S$14:$S$16)/12</f>
        <v>1333.333333333333</v>
      </c>
      <c r="N76" s="46">
        <f>SUM(Calculations!$S$14:$S$16)/12</f>
        <v>1333.333333333333</v>
      </c>
      <c r="O76" s="46">
        <f>SUM(Calculations!$S$14:$S$16)/12</f>
        <v>1333.333333333333</v>
      </c>
      <c r="P76" s="46">
        <f>SUM(Calculations!$S$14:$S$16)/12</f>
        <v>1333.333333333333</v>
      </c>
      <c r="Q76" s="46">
        <f>SUM(Calculations!$S$14:$S$16)/12</f>
        <v>1333.333333333333</v>
      </c>
      <c r="R76" s="46">
        <f>SUM(Calculations!$S$14:$S$16)/12</f>
        <v>1333.333333333333</v>
      </c>
      <c r="S76" s="46">
        <f>SUM(Calculations!$S$14:$S$16)/12</f>
        <v>1333.333333333333</v>
      </c>
      <c r="T76" s="46">
        <f>SUM(Calculations!$S$14:$S$16)/12</f>
        <v>1333.333333333333</v>
      </c>
      <c r="U76" s="46">
        <f>SUM(Calculations!$S$14:$S$16)/12</f>
        <v>1333.333333333333</v>
      </c>
      <c r="V76" s="46">
        <f>SUM(Calculations!$S$14:$S$16)/12</f>
        <v>1333.333333333333</v>
      </c>
      <c r="W76" s="46">
        <f>SUM(Calculations!$S$14:$S$16)/12</f>
        <v>1333.333333333333</v>
      </c>
      <c r="X76" s="46">
        <f>SUM(Calculations!$S$14:$S$16)/12</f>
        <v>1333.333333333333</v>
      </c>
      <c r="Y76" s="46">
        <f>SUM(Calculations!$S$14:$S$16)/12</f>
        <v>1333.333333333333</v>
      </c>
      <c r="Z76" s="46">
        <f>SUMIF($B$13:$Y$13,"Yes",B76:Y76)</f>
        <v>31999.99999999999</v>
      </c>
      <c r="AA76" s="46">
        <f>SUM(B76:M76)</f>
        <v>16000</v>
      </c>
      <c r="AB76" s="46">
        <f>SUM(B76:Y76)</f>
        <v>31999.99999999999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288000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13995.9</v>
      </c>
      <c r="C81" s="46">
        <f>(SUM($AA$18:$AA$29)-SUM($AA$36,$AA$42,$AA$48,$AA$54,$AA$60,$AA$66,$AA$72:$AA$79))*Parameters!$B$37/12</f>
        <v>13995.9</v>
      </c>
      <c r="D81" s="46">
        <f>(SUM($AA$18:$AA$29)-SUM($AA$36,$AA$42,$AA$48,$AA$54,$AA$60,$AA$66,$AA$72:$AA$79))*Parameters!$B$37/12</f>
        <v>13995.9</v>
      </c>
      <c r="E81" s="46">
        <f>(SUM($AA$18:$AA$29)-SUM($AA$36,$AA$42,$AA$48,$AA$54,$AA$60,$AA$66,$AA$72:$AA$79))*Parameters!$B$37/12</f>
        <v>13995.9</v>
      </c>
      <c r="F81" s="46">
        <f>(SUM($AA$18:$AA$29)-SUM($AA$36,$AA$42,$AA$48,$AA$54,$AA$60,$AA$66,$AA$72:$AA$79))*Parameters!$B$37/12</f>
        <v>13995.9</v>
      </c>
      <c r="G81" s="46">
        <f>(SUM($AA$18:$AA$29)-SUM($AA$36,$AA$42,$AA$48,$AA$54,$AA$60,$AA$66,$AA$72:$AA$79))*Parameters!$B$37/12</f>
        <v>13995.9</v>
      </c>
      <c r="H81" s="46">
        <f>(SUM($AA$18:$AA$29)-SUM($AA$36,$AA$42,$AA$48,$AA$54,$AA$60,$AA$66,$AA$72:$AA$79))*Parameters!$B$37/12</f>
        <v>13995.9</v>
      </c>
      <c r="I81" s="46">
        <f>(SUM($AA$18:$AA$29)-SUM($AA$36,$AA$42,$AA$48,$AA$54,$AA$60,$AA$66,$AA$72:$AA$79))*Parameters!$B$37/12</f>
        <v>13995.9</v>
      </c>
      <c r="J81" s="46">
        <f>(SUM($AA$18:$AA$29)-SUM($AA$36,$AA$42,$AA$48,$AA$54,$AA$60,$AA$66,$AA$72:$AA$79))*Parameters!$B$37/12</f>
        <v>13995.9</v>
      </c>
      <c r="K81" s="46">
        <f>(SUM($AA$18:$AA$29)-SUM($AA$36,$AA$42,$AA$48,$AA$54,$AA$60,$AA$66,$AA$72:$AA$79))*Parameters!$B$37/12</f>
        <v>13995.9</v>
      </c>
      <c r="L81" s="46">
        <f>(SUM($AA$18:$AA$29)-SUM($AA$36,$AA$42,$AA$48,$AA$54,$AA$60,$AA$66,$AA$72:$AA$79))*Parameters!$B$37/12</f>
        <v>13995.9</v>
      </c>
      <c r="M81" s="46">
        <f>(SUM($AA$18:$AA$29)-SUM($AA$36,$AA$42,$AA$48,$AA$54,$AA$60,$AA$66,$AA$72:$AA$79))*Parameters!$B$37/12</f>
        <v>13995.9</v>
      </c>
      <c r="N81" s="46">
        <f>(SUM($AA$18:$AA$29)-SUM($AA$36,$AA$42,$AA$48,$AA$54,$AA$60,$AA$66,$AA$72:$AA$79))*Parameters!$B$37/12</f>
        <v>13995.9</v>
      </c>
      <c r="O81" s="46">
        <f>(SUM($AA$18:$AA$29)-SUM($AA$36,$AA$42,$AA$48,$AA$54,$AA$60,$AA$66,$AA$72:$AA$79))*Parameters!$B$37/12</f>
        <v>13995.9</v>
      </c>
      <c r="P81" s="46">
        <f>(SUM($AA$18:$AA$29)-SUM($AA$36,$AA$42,$AA$48,$AA$54,$AA$60,$AA$66,$AA$72:$AA$79))*Parameters!$B$37/12</f>
        <v>13995.9</v>
      </c>
      <c r="Q81" s="46">
        <f>(SUM($AA$18:$AA$29)-SUM($AA$36,$AA$42,$AA$48,$AA$54,$AA$60,$AA$66,$AA$72:$AA$79))*Parameters!$B$37/12</f>
        <v>13995.9</v>
      </c>
      <c r="R81" s="46">
        <f>(SUM($AA$18:$AA$29)-SUM($AA$36,$AA$42,$AA$48,$AA$54,$AA$60,$AA$66,$AA$72:$AA$79))*Parameters!$B$37/12</f>
        <v>13995.9</v>
      </c>
      <c r="S81" s="46">
        <f>(SUM($AA$18:$AA$29)-SUM($AA$36,$AA$42,$AA$48,$AA$54,$AA$60,$AA$66,$AA$72:$AA$79))*Parameters!$B$37/12</f>
        <v>13995.9</v>
      </c>
      <c r="T81" s="46">
        <f>(SUM($AA$18:$AA$29)-SUM($AA$36,$AA$42,$AA$48,$AA$54,$AA$60,$AA$66,$AA$72:$AA$79))*Parameters!$B$37/12</f>
        <v>13995.9</v>
      </c>
      <c r="U81" s="46">
        <f>(SUM($AA$18:$AA$29)-SUM($AA$36,$AA$42,$AA$48,$AA$54,$AA$60,$AA$66,$AA$72:$AA$79))*Parameters!$B$37/12</f>
        <v>13995.9</v>
      </c>
      <c r="V81" s="46">
        <f>(SUM($AA$18:$AA$29)-SUM($AA$36,$AA$42,$AA$48,$AA$54,$AA$60,$AA$66,$AA$72:$AA$79))*Parameters!$B$37/12</f>
        <v>13995.9</v>
      </c>
      <c r="W81" s="46">
        <f>(SUM($AA$18:$AA$29)-SUM($AA$36,$AA$42,$AA$48,$AA$54,$AA$60,$AA$66,$AA$72:$AA$79))*Parameters!$B$37/12</f>
        <v>13995.9</v>
      </c>
      <c r="X81" s="46">
        <f>(SUM($AA$18:$AA$29)-SUM($AA$36,$AA$42,$AA$48,$AA$54,$AA$60,$AA$66,$AA$72:$AA$79))*Parameters!$B$37/12</f>
        <v>13995.9</v>
      </c>
      <c r="Y81" s="46">
        <f>(SUM($AA$18:$AA$29)-SUM($AA$36,$AA$42,$AA$48,$AA$54,$AA$60,$AA$66,$AA$72:$AA$79))*Parameters!$B$37/12</f>
        <v>13995.9</v>
      </c>
      <c r="Z81" s="46">
        <f>SUMIF($B$13:$Y$13,"Yes",B81:Y81)</f>
        <v>335901.6</v>
      </c>
      <c r="AA81" s="46">
        <f>SUM(B81:M81)</f>
        <v>167950.8</v>
      </c>
      <c r="AB81" s="46">
        <f>SUM(B81:Y81)</f>
        <v>335901.6</v>
      </c>
    </row>
    <row r="82" spans="1:30">
      <c r="A82" s="16" t="s">
        <v>52</v>
      </c>
      <c r="B82" s="46">
        <f>SUM(B83:B87)</f>
        <v>3509.666666666667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3509.666666666667</v>
      </c>
      <c r="AA82" s="46">
        <f>SUM(B82:M82)</f>
        <v>3509.666666666667</v>
      </c>
      <c r="AB82" s="46">
        <f>SUM(B82:Y82)</f>
        <v>3509.666666666667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3509.666666666667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3509.666666666667</v>
      </c>
      <c r="AA83" s="46">
        <f>SUM(B83:M83)</f>
        <v>3509.666666666667</v>
      </c>
      <c r="AB83" s="46">
        <f>SUM(B83:Y83)</f>
        <v>3509.666666666667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34993.06666666667</v>
      </c>
      <c r="C88" s="19">
        <f>SUM(C72:C82,C66,C60,C54,C48,C42,C36)</f>
        <v>51463.4</v>
      </c>
      <c r="D88" s="19">
        <f>SUM(D72:D82,D66,D60,D54,D48,D42,D36)</f>
        <v>31963.4</v>
      </c>
      <c r="E88" s="19">
        <f>SUM(E72:E82,E66,E60,E54,E48,E42,E36)</f>
        <v>31963.4</v>
      </c>
      <c r="F88" s="19">
        <f>SUM(F72:F82,F66,F60,F54,F48,F42,F36)</f>
        <v>31963.4</v>
      </c>
      <c r="G88" s="19">
        <f>SUM(G72:G82,G66,G60,G54,G48,G42,G36)</f>
        <v>32150.9</v>
      </c>
      <c r="H88" s="19">
        <f>SUM(H72:H82,H66,H60,H54,H48,H42,H36)</f>
        <v>31483.4</v>
      </c>
      <c r="I88" s="19">
        <f>SUM(I72:I82,I66,I60,I54,I48,I42,I36)</f>
        <v>45463.4</v>
      </c>
      <c r="J88" s="19">
        <f>SUM(J72:J82,J66,J60,J54,J48,J42,J36)</f>
        <v>31963.4</v>
      </c>
      <c r="K88" s="19">
        <f>SUM(K72:K82,K66,K60,K54,K48,K42,K36)</f>
        <v>31963.4</v>
      </c>
      <c r="L88" s="19">
        <f>SUM(L72:L82,L66,L60,L54,L48,L42,L36)</f>
        <v>31963.4</v>
      </c>
      <c r="M88" s="19">
        <f>SUM(M72:M82,M66,M60,M54,M48,M42,M36)</f>
        <v>32150.9</v>
      </c>
      <c r="N88" s="19">
        <f>SUM(N72:N82,N66,N60,N54,N48,N42,N36)</f>
        <v>31483.4</v>
      </c>
      <c r="O88" s="19">
        <f>SUM(O72:O82,O66,O60,O54,O48,O42,O36)</f>
        <v>51463.4</v>
      </c>
      <c r="P88" s="19">
        <f>SUM(P72:P82,P66,P60,P54,P48,P42,P36)</f>
        <v>31963.4</v>
      </c>
      <c r="Q88" s="19">
        <f>SUM(Q72:Q82,Q66,Q60,Q54,Q48,Q42,Q36)</f>
        <v>31963.4</v>
      </c>
      <c r="R88" s="19">
        <f>SUM(R72:R82,R66,R60,R54,R48,R42,R36)</f>
        <v>31963.4</v>
      </c>
      <c r="S88" s="19">
        <f>SUM(S72:S82,S66,S60,S54,S48,S42,S36)</f>
        <v>32150.9</v>
      </c>
      <c r="T88" s="19">
        <f>SUM(T72:T82,T66,T60,T54,T48,T42,T36)</f>
        <v>31483.4</v>
      </c>
      <c r="U88" s="19">
        <f>SUM(U72:U82,U66,U60,U54,U48,U42,U36)</f>
        <v>45463.4</v>
      </c>
      <c r="V88" s="19">
        <f>SUM(V72:V82,V66,V60,V54,V48,V42,V36)</f>
        <v>31963.4</v>
      </c>
      <c r="W88" s="19">
        <f>SUM(W72:W82,W66,W60,W54,W48,W42,W36)</f>
        <v>31963.4</v>
      </c>
      <c r="X88" s="19">
        <f>SUM(X72:X82,X66,X60,X54,X48,X42,X36)</f>
        <v>31963.4</v>
      </c>
      <c r="Y88" s="19">
        <f>SUM(Y72:Y82,Y66,Y60,Y54,Y48,Y42,Y36)</f>
        <v>32150.9</v>
      </c>
      <c r="Z88" s="19">
        <f>SUMIF($B$13:$Y$13,"Yes",B88:Y88)</f>
        <v>835461.266666667</v>
      </c>
      <c r="AA88" s="19">
        <f>SUM(B88:M88)</f>
        <v>419485.4666666667</v>
      </c>
      <c r="AB88" s="19">
        <f>SUM(B88:Y88)</f>
        <v>835461.266666667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440000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4720000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12993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315993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50</v>
      </c>
      <c r="N7" s="153">
        <v>2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97</v>
      </c>
      <c r="I8" s="147" t="s">
        <v>97</v>
      </c>
      <c r="J8" s="148" t="s">
        <v>94</v>
      </c>
      <c r="K8" s="138"/>
      <c r="L8" s="16"/>
      <c r="M8" s="165">
        <v>60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112</v>
      </c>
      <c r="J19" s="145">
        <v>20</v>
      </c>
      <c r="K19" s="145"/>
      <c r="L19" s="25"/>
    </row>
    <row r="20" spans="1:48">
      <c r="A20" s="143" t="s">
        <v>113</v>
      </c>
      <c r="B20" s="16"/>
      <c r="C20" s="143">
        <v>2</v>
      </c>
      <c r="D20" s="147"/>
      <c r="E20" s="16"/>
      <c r="F20" s="147" t="s">
        <v>92</v>
      </c>
      <c r="G20" s="16"/>
      <c r="H20" s="16"/>
      <c r="I20" s="147" t="s">
        <v>114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80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30000</v>
      </c>
    </row>
    <row r="31" spans="1:48">
      <c r="A31" s="5" t="s">
        <v>121</v>
      </c>
      <c r="B31" s="158">
        <v>12000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800000</v>
      </c>
    </row>
    <row r="46" spans="1:48" customHeight="1" ht="30">
      <c r="A46" s="57" t="s">
        <v>135</v>
      </c>
      <c r="B46" s="161">
        <v>300000</v>
      </c>
    </row>
    <row r="47" spans="1:48" customHeight="1" ht="30">
      <c r="A47" s="57" t="s">
        <v>136</v>
      </c>
      <c r="B47" s="161">
        <v>150000</v>
      </c>
    </row>
    <row r="48" spans="1:48" customHeight="1" ht="30">
      <c r="A48" s="57" t="s">
        <v>137</v>
      </c>
      <c r="B48" s="161">
        <v>3000000</v>
      </c>
    </row>
    <row r="49" spans="1:48" customHeight="1" ht="30">
      <c r="A49" s="57" t="s">
        <v>138</v>
      </c>
      <c r="B49" s="161">
        <v>30000</v>
      </c>
    </row>
    <row r="50" spans="1:48">
      <c r="A50" s="43"/>
      <c r="B50" s="36"/>
    </row>
    <row r="51" spans="1:48">
      <c r="A51" s="58" t="s">
        <v>139</v>
      </c>
      <c r="B51" s="161">
        <v>3000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170000</v>
      </c>
      <c r="B56" s="159">
        <v>393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100000</v>
      </c>
      <c r="B57" s="157">
        <v>0</v>
      </c>
      <c r="C57" s="164" t="s">
        <v>150</v>
      </c>
      <c r="D57" s="165" t="s">
        <v>151</v>
      </c>
      <c r="E57" s="165" t="s">
        <v>92</v>
      </c>
      <c r="F57" s="165" t="s">
        <v>152</v>
      </c>
    </row>
    <row r="58" spans="1:48">
      <c r="A58" s="157">
        <v>11000</v>
      </c>
      <c r="B58" s="157">
        <v>12600</v>
      </c>
      <c r="C58" s="164" t="s">
        <v>153</v>
      </c>
      <c r="D58" s="165" t="s">
        <v>154</v>
      </c>
      <c r="E58" s="165" t="s">
        <v>92</v>
      </c>
      <c r="F58" s="165" t="s">
        <v>155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157</v>
      </c>
      <c r="C65" s="10" t="s">
        <v>158</v>
      </c>
    </row>
    <row r="66" spans="1:48">
      <c r="A66" s="142" t="s">
        <v>159</v>
      </c>
      <c r="B66" s="159">
        <v>102635</v>
      </c>
      <c r="C66" s="163">
        <v>102545</v>
      </c>
      <c r="D66" s="49">
        <f>INDEX(Parameters!$D$79:$D$90,MATCH(Inputs!A66,Parameters!$C$79:$C$90,0))</f>
        <v>11</v>
      </c>
    </row>
    <row r="67" spans="1:48">
      <c r="A67" s="143" t="s">
        <v>160</v>
      </c>
      <c r="B67" s="157">
        <v>13075</v>
      </c>
      <c r="C67" s="165">
        <v>13068</v>
      </c>
      <c r="D67" s="49">
        <f>INDEX(Parameters!$D$79:$D$90,MATCH(Inputs!A67,Parameters!$C$79:$C$90,0))</f>
        <v>10</v>
      </c>
    </row>
    <row r="68" spans="1:48">
      <c r="A68" s="143" t="s">
        <v>161</v>
      </c>
      <c r="B68" s="157">
        <v>49991</v>
      </c>
      <c r="C68" s="165">
        <v>49988</v>
      </c>
      <c r="D68" s="49">
        <f>INDEX(Parameters!$D$79:$D$90,MATCH(Inputs!A68,Parameters!$C$79:$C$90,0))</f>
        <v>9</v>
      </c>
    </row>
    <row r="69" spans="1:48">
      <c r="A69" s="143" t="s">
        <v>162</v>
      </c>
      <c r="B69" s="157">
        <v>145912</v>
      </c>
      <c r="C69" s="165">
        <v>147494</v>
      </c>
      <c r="D69" s="49">
        <f>INDEX(Parameters!$D$79:$D$90,MATCH(Inputs!A69,Parameters!$C$79:$C$90,0))</f>
        <v>8</v>
      </c>
    </row>
    <row r="70" spans="1:48">
      <c r="A70" s="143" t="s">
        <v>163</v>
      </c>
      <c r="B70" s="157">
        <v>40025</v>
      </c>
      <c r="C70" s="165">
        <v>39442</v>
      </c>
      <c r="D70" s="49">
        <f>INDEX(Parameters!$D$79:$D$90,MATCH(Inputs!A70,Parameters!$C$79:$C$90,0))</f>
        <v>7</v>
      </c>
    </row>
    <row r="71" spans="1:48">
      <c r="A71" s="144" t="s">
        <v>164</v>
      </c>
      <c r="B71" s="158">
        <v>55780</v>
      </c>
      <c r="C71" s="167">
        <v>55831</v>
      </c>
      <c r="D71" s="49">
        <f>INDEX(Parameters!$D$79:$D$90,MATCH(Inputs!A71,Parameters!$C$79:$C$90,0))</f>
        <v>6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24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300000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24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450</v>
      </c>
      <c r="N5" s="22">
        <f>Calculations!U5</f>
        <v>0.6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8820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0.6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187.5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219000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79200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</v>
      </c>
      <c r="R15" s="64">
        <f>IFERROR(D15*INDEX(Parameters!$A$22:$P$29,MATCH(Calculations!$A15,Parameters!$A$22:$A$29,0),MATCH(Parameters!$M$22,Parameters!$A$22:$P$22,0)),"")</f>
        <v>400</v>
      </c>
      <c r="S15" s="64">
        <f>IFERROR(D15*INDEX(Parameters!$A$22:$P$29,MATCH(Calculations!$A15,Parameters!$A$22:$A$29,0),MATCH(Parameters!$N$22,Parameters!$A$22:$P$22,0)),"")</f>
        <v>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170000</v>
      </c>
      <c r="B23" s="75">
        <f>SUM(C23:D23)</f>
        <v>11950.36458333333</v>
      </c>
      <c r="C23" s="75">
        <f>IF(Inputs!B56&gt;0,(Inputs!A56-Inputs!B56)/(DATE(YEAR(Inputs!$B$76),MONTH(Inputs!$B$76),DAY(Inputs!$B$76))-DATE(YEAR(Inputs!C56),MONTH(Inputs!C56),DAY(Inputs!C56)))*30,0)</f>
        <v>8833.697916666666</v>
      </c>
      <c r="D23" s="75">
        <f>IF(Inputs!B56&gt;0,Inputs!A56*0.22/12,0)</f>
        <v>3116.666666666667</v>
      </c>
      <c r="E23" s="75">
        <f>IFERROR(ROUNDUP(Inputs!B56/C23,0),0)</f>
        <v>1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11000</v>
      </c>
      <c r="B25" s="46">
        <f>SUM(C25:D25)</f>
        <v>-230.7657657657658</v>
      </c>
      <c r="C25" s="46">
        <f>IF(Inputs!B58&gt;0,(Inputs!A58-Inputs!B58)/(DATE(YEAR(Inputs!$B$76),MONTH(Inputs!$B$76),DAY(Inputs!$B$76))-DATE(YEAR(Inputs!C58),MONTH(Inputs!C58),DAY(Inputs!C58)))*30,0)</f>
        <v>-432.4324324324324</v>
      </c>
      <c r="D25" s="46">
        <f>IF(Inputs!B58&gt;0,Inputs!A58*0.22/12,0)</f>
        <v>201.6666666666667</v>
      </c>
      <c r="E25" s="46">
        <f>IFERROR(ROUNDUP(Inputs!B58/B25,0),0)</f>
        <v>-55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43152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43132</v>
      </c>
      <c r="F33" t="s">
        <v>170</v>
      </c>
      <c r="G33" s="128">
        <f>IF(Inputs!B79="","",DATE(YEAR(Inputs!B79),MONTH(Inputs!B79),DAY(Inputs!B79)))</f>
        <v>43112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43180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43160</v>
      </c>
      <c r="F34" t="s">
        <v>171</v>
      </c>
      <c r="G34" s="128">
        <f>IF(Inputs!B80="","",DATE(YEAR(Inputs!B80),MONTH(Inputs!B80),DAY(Inputs!B80)))</f>
        <v>43152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43211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43191</v>
      </c>
      <c r="F35" t="s">
        <v>173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43241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43221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43272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43252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43302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43282</v>
      </c>
      <c r="F38" t="s">
        <v>236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43333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43313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43364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43344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43394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43374</v>
      </c>
      <c r="F41" t="s">
        <v>237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43425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43405</v>
      </c>
      <c r="F42" t="s">
        <v>238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43455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43486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43517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43545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43576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43606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43637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43667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43647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43698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43678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43729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43709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43759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43739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43790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43770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43820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43800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43851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43831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211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302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305</v>
      </c>
      <c r="B24" s="21" t="s">
        <v>306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309</v>
      </c>
      <c r="B26" s="16" t="s">
        <v>306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310</v>
      </c>
      <c r="B27" s="71" t="s">
        <v>306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311</v>
      </c>
      <c r="B28" s="71" t="s">
        <v>306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113</v>
      </c>
      <c r="B29" s="118" t="s">
        <v>306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99</v>
      </c>
      <c r="B41" s="191" t="s">
        <v>97</v>
      </c>
      <c r="C41" s="191" t="s">
        <v>92</v>
      </c>
    </row>
    <row r="42" spans="1:36">
      <c r="A42" t="s">
        <v>302</v>
      </c>
      <c r="B42" s="72">
        <v>450</v>
      </c>
      <c r="C42" s="72">
        <v>450</v>
      </c>
    </row>
    <row r="43" spans="1:36">
      <c r="A43" t="s">
        <v>305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309</v>
      </c>
      <c r="B45" s="72">
        <v>25000</v>
      </c>
      <c r="C45" s="72">
        <v>50000</v>
      </c>
    </row>
    <row r="46" spans="1:36">
      <c r="A46" t="s">
        <v>310</v>
      </c>
      <c r="B46" s="72">
        <v>6000</v>
      </c>
      <c r="C46" s="72">
        <v>12000</v>
      </c>
    </row>
    <row r="47" spans="1:36">
      <c r="A47" t="s">
        <v>311</v>
      </c>
      <c r="B47" s="72">
        <v>4500</v>
      </c>
      <c r="C47" s="72">
        <v>12000</v>
      </c>
    </row>
    <row r="48" spans="1:36">
      <c r="A48" t="s">
        <v>113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280</v>
      </c>
      <c r="E52" s="12" t="s">
        <v>280</v>
      </c>
      <c r="F52" s="12" t="s">
        <v>280</v>
      </c>
      <c r="G52" s="12" t="s">
        <v>322</v>
      </c>
      <c r="H52" s="12" t="s">
        <v>323</v>
      </c>
      <c r="I52" s="12" t="s">
        <v>132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239</v>
      </c>
      <c r="E53" s="10" t="s">
        <v>198</v>
      </c>
      <c r="F53" s="10" t="s">
        <v>258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176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235</v>
      </c>
      <c r="J76" s="11" t="s">
        <v>356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97</v>
      </c>
      <c r="F77" s="12" t="s">
        <v>97</v>
      </c>
      <c r="G77" s="12" t="s">
        <v>358</v>
      </c>
      <c r="H77" s="12" t="s">
        <v>323</v>
      </c>
      <c r="I77" s="12" t="s">
        <v>359</v>
      </c>
      <c r="J77" s="136" t="s">
        <v>360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361</v>
      </c>
      <c r="D78" s="133"/>
      <c r="E78" s="12" t="s">
        <v>362</v>
      </c>
      <c r="F78" s="12" t="s">
        <v>363</v>
      </c>
      <c r="G78" s="12" t="s">
        <v>114</v>
      </c>
      <c r="H78" s="12" t="s">
        <v>132</v>
      </c>
      <c r="I78" s="12" t="s">
        <v>364</v>
      </c>
      <c r="J78" s="70" t="s">
        <v>365</v>
      </c>
      <c r="K78" s="12" t="s">
        <v>97</v>
      </c>
      <c r="AJ78" s="12"/>
    </row>
    <row r="79" spans="1:36">
      <c r="B79" s="176">
        <v>10</v>
      </c>
      <c r="C79" s="12" t="s">
        <v>366</v>
      </c>
      <c r="D79" s="12">
        <v>1</v>
      </c>
      <c r="E79" s="12" t="s">
        <v>367</v>
      </c>
      <c r="F79" s="12" t="s">
        <v>368</v>
      </c>
      <c r="G79" s="12" t="s">
        <v>112</v>
      </c>
      <c r="I79" s="12" t="s">
        <v>176</v>
      </c>
      <c r="J79" s="70" t="s">
        <v>96</v>
      </c>
      <c r="K79" s="12" t="s">
        <v>97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372</v>
      </c>
      <c r="D83" s="12">
        <f>D82+1</f>
        <v>5</v>
      </c>
    </row>
    <row r="84" spans="1:36">
      <c r="B84" s="176">
        <v>60</v>
      </c>
      <c r="C84" s="12" t="s">
        <v>164</v>
      </c>
      <c r="D84" s="12">
        <f>D83+1</f>
        <v>6</v>
      </c>
    </row>
    <row r="85" spans="1:36">
      <c r="B85" s="176">
        <v>70</v>
      </c>
      <c r="C85" s="12" t="s">
        <v>163</v>
      </c>
      <c r="D85" s="12">
        <f>D84+1</f>
        <v>7</v>
      </c>
    </row>
    <row r="86" spans="1:36">
      <c r="B86" s="176">
        <v>80</v>
      </c>
      <c r="C86" s="12" t="s">
        <v>162</v>
      </c>
      <c r="D86" s="12">
        <f>D85+1</f>
        <v>8</v>
      </c>
    </row>
    <row r="87" spans="1:36">
      <c r="B87" s="176">
        <v>89.99999999999999</v>
      </c>
      <c r="C87" s="12" t="s">
        <v>161</v>
      </c>
      <c r="D87" s="12">
        <f>D86+1</f>
        <v>9</v>
      </c>
    </row>
    <row r="88" spans="1:36">
      <c r="B88" s="176">
        <v>99.99999999999999</v>
      </c>
      <c r="C88" s="12" t="s">
        <v>160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