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<sst xmlns="http://schemas.openxmlformats.org/spreadsheetml/2006/main" uniqueCount="369">
  <si>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</si>
  <si>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</si>
  <si>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</si>
  <si>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</si>
  <si>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</si>
  <si>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</si>
  <si>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</si>
  <si>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</si>
  <si>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</si>
  <si>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</si>
  <si>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</si>
  <si>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</si>
  <si>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</si>
  <si>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</si>
  <si>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</si>
  <si>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</si>
  <si>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</si>
  <si>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</si>
  <si>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</si>
  <si>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</si>
  <si>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</si>
  <si>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</si>
  <si>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</si>
  <si>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</si>
  <si>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</si>
  <si>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</si>
  <si>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</si>
  <si>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</si>
  <si>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</si>
  <si>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</si>
  <si>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</si>
  <si>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</si>
  <si>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</si>
  <si>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</si>
  <si>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</si>
  <si>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</si>
  <si>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</si>
  <si>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</si>
  <si>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</si>
  <si>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</si>
  <si>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</si>
  <si>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</si>
  <si>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</si>
  <si>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</si>
  <si>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</si>
  <si>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</si>
  <si>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</si>
  <si>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</si>
  <si>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</si>
  <si>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</si>
  <si>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</si>
  <si>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</si>
  <si>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</si>
  <si>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</si>
  <si>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</si>
  <si>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</si>
  <si>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</si>
  <si>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</si>
  <si>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</si>
  <si>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</si>
  <si>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</si>
  <si>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</si>
  <si>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</si>
  <si>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</si>
  <si>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</si>
  <si>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</si>
  <si>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</si>
  <si>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</si>
  <si>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</si>
  <si>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</si>
  <si>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</si>
  <si>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</si>
  <si>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</si>
  <si>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</si>
  <si>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</si>
  <si>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</si>
  <si>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</si>
  <si>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</si>
  <si>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</si>
  <si>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</si>
  <si>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</si>
  <si>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</si>
  <si>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</si>
  <si>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</si>
  <si>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</si>
  <si>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</si>
  <si>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</si>
  <si>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</si>
  <si>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</si>
  <si>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</si>
  <si>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</si>
  <si>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</si>
  <si>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Yes</t>
  </si>
  <si>
    <t>No</t>
  </si>
  <si>
    <t>August</t>
  </si>
  <si>
    <t>Maize</t>
  </si>
  <si>
    <t>Shop_certified variety</t>
  </si>
  <si>
    <t>Yes both manure and inorganic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</si>
  <si>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</si>
  <si>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</si>
  <si>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</si>
  <si>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</si>
  <si>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</si>
  <si>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</si>
  <si>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</si>
  <si>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</si>
  <si>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</si>
  <si>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</si>
  <si>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</si>
  <si>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</si>
  <si>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</si>
  <si>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</si>
  <si>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</si>
  <si>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</si>
  <si>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</si>
  <si>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</si>
  <si>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</si>
  <si>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</si>
  <si>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</si>
  <si>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</si>
  <si>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</si>
  <si>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</si>
  <si>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</si>
  <si>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</si>
  <si>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</si>
  <si>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</si>
  <si>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</si>
  <si>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</si>
  <si>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</si>
  <si>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</si>
  <si>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</si>
  <si>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</si>
  <si>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</si>
  <si>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</si>
  <si>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</si>
  <si>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</si>
  <si>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</si>
  <si>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</si>
  <si>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</si>
  <si>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</si>
  <si>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</si>
  <si>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</si>
  <si>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</si>
  <si>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</si>
  <si>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</si>
  <si>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7/28/2016</t>
  </si>
  <si>
    <t>Musoni Kenya</t>
  </si>
  <si>
    <t>Well paid</t>
  </si>
  <si>
    <t>6/29/2017</t>
  </si>
  <si>
    <t>Mpesa &amp; bank cash flows (from past statements)</t>
  </si>
  <si>
    <t>Cash inflows</t>
  </si>
  <si>
    <t>Cash outflows</t>
  </si>
  <si>
    <t>July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</si>
  <si>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</si>
  <si>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</si>
  <si>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</si>
  <si>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</si>
  <si>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</si>
  <si>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</si>
  <si>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</si>
  <si>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2018/1/12</t>
  </si>
  <si>
    <t>Loan terms</t>
  </si>
  <si>
    <t>Expected disbursement date</t>
  </si>
  <si>
    <t>Expected first repayment date</t>
  </si>
  <si>
    <t>2018/2/12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</si>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</sst>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0.4409831674179043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0.027599486521181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165117.7767176558</v>
      </c>
    </row>
    <row r="18" spans="1:7">
      <c r="B18" s="1" t="s">
        <v>12</v>
      </c>
      <c r="C18" s="36">
        <f>MIN(Output!B6:M6)</f>
        <v>-3028.726762504666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20685.40551014967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130000</v>
      </c>
    </row>
    <row r="25" spans="1:7">
      <c r="B25" s="1" t="s">
        <v>18</v>
      </c>
      <c r="C25" s="36">
        <f>MAX(Inputs!A56:A60)</f>
        <v>160000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10789.27323749533</v>
      </c>
      <c r="C6" s="51">
        <f>C30-C88</f>
        <v>-3028.726762504666</v>
      </c>
      <c r="D6" s="51">
        <f>D30-D88</f>
        <v>10789.27323749533</v>
      </c>
      <c r="E6" s="51">
        <f>E30-E88</f>
        <v>10789.27323749533</v>
      </c>
      <c r="F6" s="51">
        <f>F30-F88</f>
        <v>10789.27323749533</v>
      </c>
      <c r="G6" s="51">
        <f>G30-G88</f>
        <v>10789.27323749533</v>
      </c>
      <c r="H6" s="51">
        <f>H30-H88</f>
        <v>20685.40551014967</v>
      </c>
      <c r="I6" s="51">
        <f>I30-I88</f>
        <v>18658.82326571694</v>
      </c>
      <c r="J6" s="51">
        <f>J30-J88</f>
        <v>18713.9771292043</v>
      </c>
      <c r="K6" s="51">
        <f>K30-K88</f>
        <v>18713.9771292043</v>
      </c>
      <c r="L6" s="51">
        <f>L30-L88</f>
        <v>18713.9771292043</v>
      </c>
      <c r="M6" s="51">
        <f>M30-M88</f>
        <v>18713.9771292043</v>
      </c>
      <c r="N6" s="51">
        <f>N30-N88</f>
        <v>18713.9771292043</v>
      </c>
      <c r="O6" s="51">
        <f>O30-O88</f>
        <v>4895.977129204301</v>
      </c>
      <c r="P6" s="51">
        <f>P30-P88</f>
        <v>18713.9771292043</v>
      </c>
      <c r="Q6" s="51">
        <f>Q30-Q88</f>
        <v>18713.9771292043</v>
      </c>
      <c r="R6" s="51">
        <f>R30-R88</f>
        <v>18713.9771292043</v>
      </c>
      <c r="S6" s="51">
        <f>S30-S88</f>
        <v>18713.9771292043</v>
      </c>
      <c r="T6" s="51">
        <f>T30-T88</f>
        <v>28610.10940185864</v>
      </c>
      <c r="U6" s="51">
        <f>U30-U88</f>
        <v>37852.56269042084</v>
      </c>
      <c r="V6" s="51">
        <f>V30-V88</f>
        <v>18713.9771292043</v>
      </c>
      <c r="W6" s="51">
        <f>W30-W88</f>
        <v>18713.9771292043</v>
      </c>
      <c r="X6" s="51">
        <f>X30-X88</f>
        <v>18713.9771292043</v>
      </c>
      <c r="Y6" s="51">
        <f>Y30-Y88</f>
        <v>18713.9771292043</v>
      </c>
      <c r="Z6" s="51">
        <f>SUMIF($B$13:$Y$13,"Yes",B6:Y6)</f>
        <v>292193.7488947404</v>
      </c>
      <c r="AA6" s="51">
        <f>AA30-AA88</f>
        <v>165117.7767176558</v>
      </c>
      <c r="AB6" s="51">
        <f>AB30-AB88</f>
        <v>404902.2201019784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-28748</v>
      </c>
      <c r="I7" s="80">
        <f>IF(ISERROR(VLOOKUP(MONTH(I5),Inputs!$D$66:$D$71,1,0)),"",INDEX(Inputs!$B$66:$B$71,MATCH(MONTH(Output!I5),Inputs!$D$66:$D$71,0))-INDEX(Inputs!$C$66:$C$71,MATCH(MONTH(Output!I5),Inputs!$D$66:$D$71,0)))</f>
        <v>-5368</v>
      </c>
      <c r="J7" s="80">
        <f>IF(ISERROR(VLOOKUP(MONTH(J5),Inputs!$D$66:$D$71,1,0)),"",INDEX(Inputs!$B$66:$B$71,MATCH(MONTH(Output!J5),Inputs!$D$66:$D$71,0))-INDEX(Inputs!$C$66:$C$71,MATCH(MONTH(Output!J5),Inputs!$D$66:$D$71,0)))</f>
        <v>-2650</v>
      </c>
      <c r="K7" s="80">
        <f>IF(ISERROR(VLOOKUP(MONTH(K5),Inputs!$D$66:$D$71,1,0)),"",INDEX(Inputs!$B$66:$B$71,MATCH(MONTH(Output!K5),Inputs!$D$66:$D$71,0))-INDEX(Inputs!$C$66:$C$71,MATCH(MONTH(Output!K5),Inputs!$D$66:$D$71,0)))</f>
        <v>5403</v>
      </c>
      <c r="L7" s="80">
        <f>IF(ISERROR(VLOOKUP(MONTH(L5),Inputs!$D$66:$D$71,1,0)),"",INDEX(Inputs!$B$66:$B$71,MATCH(MONTH(Output!L5),Inputs!$D$66:$D$71,0))-INDEX(Inputs!$C$66:$C$71,MATCH(MONTH(Output!L5),Inputs!$D$66:$D$71,0)))</f>
        <v>-7698</v>
      </c>
      <c r="M7" s="80">
        <f>IF(ISERROR(VLOOKUP(MONTH(M5),Inputs!$D$66:$D$71,1,0)),"",INDEX(Inputs!$B$66:$B$71,MATCH(MONTH(Output!M5),Inputs!$D$66:$D$71,0))-INDEX(Inputs!$C$66:$C$71,MATCH(MONTH(Output!M5),Inputs!$D$66:$D$71,0)))</f>
        <v>-1606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-28748</v>
      </c>
      <c r="U7" s="80">
        <f>IF(ISERROR(VLOOKUP(MONTH(U5),Inputs!$D$66:$D$71,1,0)),"",INDEX(Inputs!$B$66:$B$71,MATCH(MONTH(Output!U5),Inputs!$D$66:$D$71,0))-INDEX(Inputs!$C$66:$C$71,MATCH(MONTH(Output!U5),Inputs!$D$66:$D$71,0)))</f>
        <v>-5368</v>
      </c>
      <c r="V7" s="80">
        <f>IF(ISERROR(VLOOKUP(MONTH(V5),Inputs!$D$66:$D$71,1,0)),"",INDEX(Inputs!$B$66:$B$71,MATCH(MONTH(Output!V5),Inputs!$D$66:$D$71,0))-INDEX(Inputs!$C$66:$C$71,MATCH(MONTH(Output!V5),Inputs!$D$66:$D$71,0)))</f>
        <v>-2650</v>
      </c>
      <c r="W7" s="80">
        <f>IF(ISERROR(VLOOKUP(MONTH(W5),Inputs!$D$66:$D$71,1,0)),"",INDEX(Inputs!$B$66:$B$71,MATCH(MONTH(Output!W5),Inputs!$D$66:$D$71,0))-INDEX(Inputs!$C$66:$C$71,MATCH(MONTH(Output!W5),Inputs!$D$66:$D$71,0)))</f>
        <v>5403</v>
      </c>
      <c r="X7" s="80">
        <f>IF(ISERROR(VLOOKUP(MONTH(X5),Inputs!$D$66:$D$71,1,0)),"",INDEX(Inputs!$B$66:$B$71,MATCH(MONTH(Output!X5),Inputs!$D$66:$D$71,0))-INDEX(Inputs!$C$66:$C$71,MATCH(MONTH(Output!X5),Inputs!$D$66:$D$71,0)))</f>
        <v>-7698</v>
      </c>
      <c r="Y7" s="80">
        <f>IF(ISERROR(VLOOKUP(MONTH(Y5),Inputs!$D$66:$D$71,1,0)),"",INDEX(Inputs!$B$66:$B$71,MATCH(MONTH(Output!Y5),Inputs!$D$66:$D$71,0))-INDEX(Inputs!$C$66:$C$71,MATCH(MONTH(Output!Y5),Inputs!$D$66:$D$71,0)))</f>
        <v>-1606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10833.33333333333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119166.6666666667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160789.2732374953</v>
      </c>
      <c r="C11" s="80">
        <f>C6+C9-C10</f>
        <v>-13862.060095838</v>
      </c>
      <c r="D11" s="80">
        <f>D6+D9-D10</f>
        <v>-44.06009583800005</v>
      </c>
      <c r="E11" s="80">
        <f>E6+E9-E10</f>
        <v>-44.06009583800005</v>
      </c>
      <c r="F11" s="80">
        <f>F6+F9-F10</f>
        <v>-44.06009583800005</v>
      </c>
      <c r="G11" s="80">
        <f>G6+G9-G10</f>
        <v>-44.06009583800005</v>
      </c>
      <c r="H11" s="80">
        <f>H6+H9-H10</f>
        <v>9852.072176816337</v>
      </c>
      <c r="I11" s="80">
        <f>I6+I9-I10</f>
        <v>7825.489932383609</v>
      </c>
      <c r="J11" s="80">
        <f>J6+J9-J10</f>
        <v>7880.643795870967</v>
      </c>
      <c r="K11" s="80">
        <f>K6+K9-K10</f>
        <v>7880.643795870967</v>
      </c>
      <c r="L11" s="80">
        <f>L6+L9-L10</f>
        <v>7880.643795870967</v>
      </c>
      <c r="M11" s="80">
        <f>M6+M9-M10</f>
        <v>7880.643795870967</v>
      </c>
      <c r="N11" s="80">
        <f>N6+N9-N10</f>
        <v>7880.643795870967</v>
      </c>
      <c r="O11" s="80">
        <f>O6+O9-O10</f>
        <v>-5937.356204129033</v>
      </c>
      <c r="P11" s="80">
        <f>P6+P9-P10</f>
        <v>7880.643795870967</v>
      </c>
      <c r="Q11" s="80">
        <f>Q6+Q9-Q10</f>
        <v>7880.643795870967</v>
      </c>
      <c r="R11" s="80">
        <f>R6+R9-R10</f>
        <v>7880.643795870967</v>
      </c>
      <c r="S11" s="80">
        <f>S6+S9-S10</f>
        <v>7880.643795870967</v>
      </c>
      <c r="T11" s="80">
        <f>T6+T9-T10</f>
        <v>17776.77606852531</v>
      </c>
      <c r="U11" s="80">
        <f>U6+U9-U10</f>
        <v>37852.56269042084</v>
      </c>
      <c r="V11" s="80">
        <f>V6+V9-V10</f>
        <v>18713.9771292043</v>
      </c>
      <c r="W11" s="80">
        <f>W6+W9-W10</f>
        <v>18713.9771292043</v>
      </c>
      <c r="X11" s="80">
        <f>X6+X9-X10</f>
        <v>18713.9771292043</v>
      </c>
      <c r="Y11" s="80">
        <f>Y6+Y9-Y10</f>
        <v>18713.9771292043</v>
      </c>
      <c r="Z11" s="85">
        <f>SUMIF($B$13:$Y$13,"Yes",B11:Y11)</f>
        <v>247193.7488947403</v>
      </c>
      <c r="AA11" s="80">
        <f>SUM(B11:M11)</f>
        <v>195951.1100509891</v>
      </c>
      <c r="AB11" s="46">
        <f>SUM(B11:Y11)</f>
        <v>359902.2201019784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0.06866947139442567</v>
      </c>
      <c r="D12" s="82">
        <f>IF(D13="Yes",IF(SUM($B$10:D10)/(SUM($B$6:D6)+SUM($B$9:D9))&lt;0,999.99,SUM($B$10:D10)/(SUM($B$6:D6)+SUM($B$9:D9))),"")</f>
        <v>0.12854755171869</v>
      </c>
      <c r="E12" s="82">
        <f>IF(E13="Yes",IF(SUM($B$10:E10)/(SUM($B$6:E6)+SUM($B$9:E9))&lt;0,999.99,SUM($B$10:E10)/(SUM($B$6:E6)+SUM($B$9:E9))),"")</f>
        <v>0.1812209455585037</v>
      </c>
      <c r="F12" s="82">
        <f>IF(F13="Yes",IF(SUM($B$10:F10)/(SUM($B$6:F6)+SUM($B$9:F9))&lt;0,999.99,SUM($B$10:F10)/(SUM($B$6:F6)+SUM($B$9:F9))),"")</f>
        <v>0.2279161926348453</v>
      </c>
      <c r="G12" s="82">
        <f>IF(G13="Yes",IF(SUM($B$10:G10)/(SUM($B$6:G6)+SUM($B$9:G9))&lt;0,999.99,SUM($B$10:G10)/(SUM($B$6:G6)+SUM($B$9:G9))),"")</f>
        <v>0.2695963720342929</v>
      </c>
      <c r="H12" s="82">
        <f>IF(H13="Yes",IF(SUM($B$10:H10)/(SUM($B$6:H6)+SUM($B$9:H9))&lt;0,999.99,SUM($B$10:H10)/(SUM($B$6:H6)+SUM($B$9:H9))),"")</f>
        <v>0.2933172692596798</v>
      </c>
      <c r="I12" s="82">
        <f>IF(I13="Yes",IF(SUM($B$10:I10)/(SUM($B$6:I6)+SUM($B$9:I9))&lt;0,999.99,SUM($B$10:I10)/(SUM($B$6:I6)+SUM($B$9:I9))),"")</f>
        <v>0.3156278351666819</v>
      </c>
      <c r="J12" s="82">
        <f>IF(J13="Yes",IF(SUM($B$10:J10)/(SUM($B$6:J6)+SUM($B$9:J9))&lt;0,999.99,SUM($B$10:J10)/(SUM($B$6:J6)+SUM($B$9:J9))),"")</f>
        <v>0.3346515446497232</v>
      </c>
      <c r="K12" s="82">
        <f>IF(K13="Yes",IF(SUM($B$10:K10)/(SUM($B$6:K6)+SUM($B$9:K9))&lt;0,999.99,SUM($B$10:K10)/(SUM($B$6:K6)+SUM($B$9:K9))),"")</f>
        <v>0.3511111755430243</v>
      </c>
      <c r="L12" s="82">
        <f>IF(L13="Yes",IF(SUM($B$10:L10)/(SUM($B$6:L6)+SUM($B$9:L9))&lt;0,999.99,SUM($B$10:L10)/(SUM($B$6:L6)+SUM($B$9:L9))),"")</f>
        <v>0.3654923907309932</v>
      </c>
      <c r="M12" s="82">
        <f>IF(M13="Yes",IF(SUM($B$10:M10)/(SUM($B$6:M6)+SUM($B$9:M9))&lt;0,999.99,SUM($B$10:M10)/(SUM($B$6:M6)+SUM($B$9:M9))),"")</f>
        <v>0.3781654843720209</v>
      </c>
      <c r="N12" s="82">
        <f>IF(N13="Yes",IF(SUM($B$10:N10)/(SUM($B$6:N6)+SUM($B$9:N9))&lt;0,999.99,SUM($B$10:N10)/(SUM($B$6:N6)+SUM($B$9:N9))),"")</f>
        <v>0.389417718662064</v>
      </c>
      <c r="O12" s="82">
        <f>IF(O13="Yes",IF(SUM($B$10:O10)/(SUM($B$6:O6)+SUM($B$9:O9))&lt;0,999.99,SUM($B$10:O10)/(SUM($B$6:O6)+SUM($B$9:O9))),"")</f>
        <v>0.4157714897670573</v>
      </c>
      <c r="P12" s="82">
        <f>IF(P13="Yes",IF(SUM($B$10:P10)/(SUM($B$6:P6)+SUM($B$9:P9))&lt;0,999.99,SUM($B$10:P10)/(SUM($B$6:P6)+SUM($B$9:P9))),"")</f>
        <v>0.4243116100541907</v>
      </c>
      <c r="Q12" s="82">
        <f>IF(Q13="Yes",IF(SUM($B$10:Q10)/(SUM($B$6:Q6)+SUM($B$9:Q9))&lt;0,999.99,SUM($B$10:Q10)/(SUM($B$6:Q6)+SUM($B$9:Q9))),"")</f>
        <v>0.4320019778478349</v>
      </c>
      <c r="R12" s="82">
        <f>IF(R13="Yes",IF(SUM($B$10:R10)/(SUM($B$6:R6)+SUM($B$9:R9))&lt;0,999.99,SUM($B$10:R10)/(SUM($B$6:R6)+SUM($B$9:R9))),"")</f>
        <v>0.4389634095862555</v>
      </c>
      <c r="S12" s="82">
        <f>IF(S13="Yes",IF(SUM($B$10:S10)/(SUM($B$6:S6)+SUM($B$9:S9))&lt;0,999.99,SUM($B$10:S10)/(SUM($B$6:S6)+SUM($B$9:S9))),"")</f>
        <v>0.4452948547299498</v>
      </c>
      <c r="T12" s="82">
        <f>IF(T13="Yes",IF(SUM($B$10:T10)/(SUM($B$6:T6)+SUM($B$9:T9))&lt;0,999.99,SUM($B$10:T10)/(SUM($B$6:T6)+SUM($B$9:T9))),"")</f>
        <v>0.4409831674179043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25274.08509499999</v>
      </c>
      <c r="C18" s="36">
        <f>O18</f>
        <v>25274.08509499999</v>
      </c>
      <c r="D18" s="36">
        <f>P18</f>
        <v>25274.08509499999</v>
      </c>
      <c r="E18" s="36">
        <f>Q18</f>
        <v>25274.08509499999</v>
      </c>
      <c r="F18" s="36">
        <f>R18</f>
        <v>25274.08509499999</v>
      </c>
      <c r="G18" s="36">
        <f>S18</f>
        <v>25274.08509499999</v>
      </c>
      <c r="H18" s="36">
        <f>T18</f>
        <v>25274.08509499999</v>
      </c>
      <c r="I18" s="36">
        <f>U18</f>
        <v>25274.08509499999</v>
      </c>
      <c r="J18" s="36">
        <f>V18</f>
        <v>25274.08509499999</v>
      </c>
      <c r="K18" s="36">
        <f>W18</f>
        <v>25274.08509499999</v>
      </c>
      <c r="L18" s="36">
        <f>X18</f>
        <v>25274.08509499999</v>
      </c>
      <c r="M18" s="36">
        <f>Y18</f>
        <v>25274.08509499999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25274.08509499999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25274.08509499999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25274.08509499999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25274.08509499999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25274.08509499999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25274.08509499999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25274.08509499999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25274.08509499999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25274.08509499999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25274.08509499999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25274.08509499999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25274.08509499999</v>
      </c>
      <c r="Z18" s="36">
        <f>SUMIF($B$13:$Y$13,"Yes",B18:Y18)</f>
        <v>480207.6168049998</v>
      </c>
      <c r="AA18" s="36">
        <f>SUM(B18:M18)</f>
        <v>303289.0211399999</v>
      </c>
      <c r="AB18" s="36">
        <f>SUM(B18:Y18)</f>
        <v>606578.0422799998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19282.15463434711</v>
      </c>
      <c r="I19" s="36">
        <f>U19</f>
        <v>23138.58556121654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19282.15463434711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23138.58556121654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61702.89482991076</v>
      </c>
      <c r="AA19" s="36">
        <f>SUM(B19:M19)</f>
        <v>42420.74019556365</v>
      </c>
      <c r="AB19" s="36">
        <f>SUM(B19:Y19)</f>
        <v>84841.48039112729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12136.25</v>
      </c>
      <c r="C24" s="36">
        <f>IFERROR(Calculations!$P14/12,"")</f>
        <v>12136.25</v>
      </c>
      <c r="D24" s="36">
        <f>IFERROR(Calculations!$P14/12,"")</f>
        <v>12136.25</v>
      </c>
      <c r="E24" s="36">
        <f>IFERROR(Calculations!$P14/12,"")</f>
        <v>12136.25</v>
      </c>
      <c r="F24" s="36">
        <f>IFERROR(Calculations!$P14/12,"")</f>
        <v>12136.25</v>
      </c>
      <c r="G24" s="36">
        <f>IFERROR(Calculations!$P14/12,"")</f>
        <v>12136.25</v>
      </c>
      <c r="H24" s="36">
        <f>IFERROR(Calculations!$P14/12,"")</f>
        <v>12136.25</v>
      </c>
      <c r="I24" s="36">
        <f>IFERROR(Calculations!$P14/12,"")</f>
        <v>12136.25</v>
      </c>
      <c r="J24" s="36">
        <f>IFERROR(Calculations!$P14/12,"")</f>
        <v>12136.25</v>
      </c>
      <c r="K24" s="36">
        <f>IFERROR(Calculations!$P14/12,"")</f>
        <v>12136.25</v>
      </c>
      <c r="L24" s="36">
        <f>IFERROR(Calculations!$P14/12,"")</f>
        <v>12136.25</v>
      </c>
      <c r="M24" s="36">
        <f>IFERROR(Calculations!$P14/12,"")</f>
        <v>12136.25</v>
      </c>
      <c r="N24" s="36">
        <f>IFERROR(Calculations!$P14/12,"")</f>
        <v>12136.25</v>
      </c>
      <c r="O24" s="36">
        <f>IFERROR(Calculations!$P14/12,"")</f>
        <v>12136.25</v>
      </c>
      <c r="P24" s="36">
        <f>IFERROR(Calculations!$P14/12,"")</f>
        <v>12136.25</v>
      </c>
      <c r="Q24" s="36">
        <f>IFERROR(Calculations!$P14/12,"")</f>
        <v>12136.25</v>
      </c>
      <c r="R24" s="36">
        <f>IFERROR(Calculations!$P14/12,"")</f>
        <v>12136.25</v>
      </c>
      <c r="S24" s="36">
        <f>IFERROR(Calculations!$P14/12,"")</f>
        <v>12136.25</v>
      </c>
      <c r="T24" s="36">
        <f>IFERROR(Calculations!$P14/12,"")</f>
        <v>12136.25</v>
      </c>
      <c r="U24" s="36">
        <f>IFERROR(Calculations!$P14/12,"")</f>
        <v>12136.25</v>
      </c>
      <c r="V24" s="36">
        <f>IFERROR(Calculations!$P14/12,"")</f>
        <v>12136.25</v>
      </c>
      <c r="W24" s="36">
        <f>IFERROR(Calculations!$P14/12,"")</f>
        <v>12136.25</v>
      </c>
      <c r="X24" s="36">
        <f>IFERROR(Calculations!$P14/12,"")</f>
        <v>12136.25</v>
      </c>
      <c r="Y24" s="36">
        <f>IFERROR(Calculations!$P14/12,"")</f>
        <v>12136.25</v>
      </c>
      <c r="Z24" s="36">
        <f>SUMIF($B$13:$Y$13,"Yes",B24:Y24)</f>
        <v>230588.75</v>
      </c>
      <c r="AA24" s="36">
        <f>SUM(B24:M24)</f>
        <v>145635</v>
      </c>
      <c r="AB24" s="46">
        <f>SUM(B24:Y24)</f>
        <v>291270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37410.33509499999</v>
      </c>
      <c r="C30" s="19">
        <f>SUM(C18:C29)</f>
        <v>37410.33509499999</v>
      </c>
      <c r="D30" s="19">
        <f>SUM(D18:D29)</f>
        <v>37410.33509499999</v>
      </c>
      <c r="E30" s="19">
        <f>SUM(E18:E29)</f>
        <v>37410.33509499999</v>
      </c>
      <c r="F30" s="19">
        <f>SUM(F18:F29)</f>
        <v>37410.33509499999</v>
      </c>
      <c r="G30" s="19">
        <f>SUM(G18:G29)</f>
        <v>37410.33509499999</v>
      </c>
      <c r="H30" s="19">
        <f>SUM(H18:H29)</f>
        <v>56692.48972934711</v>
      </c>
      <c r="I30" s="19">
        <f>SUM(I18:I29)</f>
        <v>60548.92065621653</v>
      </c>
      <c r="J30" s="19">
        <f>SUM(J18:J29)</f>
        <v>37410.33509499999</v>
      </c>
      <c r="K30" s="19">
        <f>SUM(K18:K29)</f>
        <v>37410.33509499999</v>
      </c>
      <c r="L30" s="19">
        <f>SUM(L18:L29)</f>
        <v>37410.33509499999</v>
      </c>
      <c r="M30" s="19">
        <f>SUM(M18:M29)</f>
        <v>37410.33509499999</v>
      </c>
      <c r="N30" s="19">
        <f>SUM(N18:N29)</f>
        <v>37410.33509499999</v>
      </c>
      <c r="O30" s="19">
        <f>SUM(O18:O29)</f>
        <v>37410.33509499999</v>
      </c>
      <c r="P30" s="19">
        <f>SUM(P18:P29)</f>
        <v>37410.33509499999</v>
      </c>
      <c r="Q30" s="19">
        <f>SUM(Q18:Q29)</f>
        <v>37410.33509499999</v>
      </c>
      <c r="R30" s="19">
        <f>SUM(R18:R29)</f>
        <v>37410.33509499999</v>
      </c>
      <c r="S30" s="19">
        <f>SUM(S18:S29)</f>
        <v>37410.33509499999</v>
      </c>
      <c r="T30" s="19">
        <f>SUM(T18:T29)</f>
        <v>56692.48972934711</v>
      </c>
      <c r="U30" s="19">
        <f>SUM(U18:U29)</f>
        <v>60548.92065621653</v>
      </c>
      <c r="V30" s="19">
        <f>SUM(V18:V29)</f>
        <v>37410.33509499999</v>
      </c>
      <c r="W30" s="19">
        <f>SUM(W18:W29)</f>
        <v>37410.33509499999</v>
      </c>
      <c r="X30" s="19">
        <f>SUM(X18:X29)</f>
        <v>37410.33509499999</v>
      </c>
      <c r="Y30" s="19">
        <f>SUM(Y18:Y29)</f>
        <v>37410.33509499999</v>
      </c>
      <c r="Z30" s="19">
        <f>SUMIF($B$13:$Y$13,"Yes",B30:Y30)</f>
        <v>772499.2616349105</v>
      </c>
      <c r="AA30" s="19">
        <f>SUM(B30:M30)</f>
        <v>491344.7613355635</v>
      </c>
      <c r="AB30" s="19">
        <f>SUM(B30:Y30)</f>
        <v>982689.522671127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12000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1818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1818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3636.000000000001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1818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1818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3636.000000000001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4000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4000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4000</v>
      </c>
      <c r="AA48" s="46">
        <f>SUM(B48:M48)</f>
        <v>4000</v>
      </c>
      <c r="AB48" s="46">
        <f>SUM(B48:Y48)</f>
        <v>8000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4000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4000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9386.022361692772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9386.022361692772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18772.04472338554</v>
      </c>
      <c r="AA54" s="46">
        <f>SUM(B54:M54)</f>
        <v>9386.022361692772</v>
      </c>
      <c r="AB54" s="46">
        <f>SUM(B54:Y54)</f>
        <v>18772.04472338554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9386.022361692772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9386.022361692772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18772.04472338554</v>
      </c>
      <c r="AA56" s="46">
        <f>SUM(B56:M56)</f>
        <v>9386.022361692772</v>
      </c>
      <c r="AB56" s="46">
        <f>SUM(B56:Y56)</f>
        <v>18772.04472338554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57791.66666666665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6333.333333333332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38000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13321.35796579569</v>
      </c>
      <c r="C81" s="46">
        <f>(SUM($AA$18:$AA$29)-SUM($AA$36,$AA$42,$AA$48,$AA$54,$AA$60,$AA$66,$AA$72:$AA$79))*Parameters!$B$37/12</f>
        <v>13321.35796579569</v>
      </c>
      <c r="D81" s="46">
        <f>(SUM($AA$18:$AA$29)-SUM($AA$36,$AA$42,$AA$48,$AA$54,$AA$60,$AA$66,$AA$72:$AA$79))*Parameters!$B$37/12</f>
        <v>13321.35796579569</v>
      </c>
      <c r="E81" s="46">
        <f>(SUM($AA$18:$AA$29)-SUM($AA$36,$AA$42,$AA$48,$AA$54,$AA$60,$AA$66,$AA$72:$AA$79))*Parameters!$B$37/12</f>
        <v>13321.35796579569</v>
      </c>
      <c r="F81" s="46">
        <f>(SUM($AA$18:$AA$29)-SUM($AA$36,$AA$42,$AA$48,$AA$54,$AA$60,$AA$66,$AA$72:$AA$79))*Parameters!$B$37/12</f>
        <v>13321.35796579569</v>
      </c>
      <c r="G81" s="46">
        <f>(SUM($AA$18:$AA$29)-SUM($AA$36,$AA$42,$AA$48,$AA$54,$AA$60,$AA$66,$AA$72:$AA$79))*Parameters!$B$37/12</f>
        <v>13321.35796579569</v>
      </c>
      <c r="H81" s="46">
        <f>(SUM($AA$18:$AA$29)-SUM($AA$36,$AA$42,$AA$48,$AA$54,$AA$60,$AA$66,$AA$72:$AA$79))*Parameters!$B$37/12</f>
        <v>13321.35796579569</v>
      </c>
      <c r="I81" s="46">
        <f>(SUM($AA$18:$AA$29)-SUM($AA$36,$AA$42,$AA$48,$AA$54,$AA$60,$AA$66,$AA$72:$AA$79))*Parameters!$B$37/12</f>
        <v>13321.35796579569</v>
      </c>
      <c r="J81" s="46">
        <f>(SUM($AA$18:$AA$29)-SUM($AA$36,$AA$42,$AA$48,$AA$54,$AA$60,$AA$66,$AA$72:$AA$79))*Parameters!$B$37/12</f>
        <v>13321.35796579569</v>
      </c>
      <c r="K81" s="46">
        <f>(SUM($AA$18:$AA$29)-SUM($AA$36,$AA$42,$AA$48,$AA$54,$AA$60,$AA$66,$AA$72:$AA$79))*Parameters!$B$37/12</f>
        <v>13321.35796579569</v>
      </c>
      <c r="L81" s="46">
        <f>(SUM($AA$18:$AA$29)-SUM($AA$36,$AA$42,$AA$48,$AA$54,$AA$60,$AA$66,$AA$72:$AA$79))*Parameters!$B$37/12</f>
        <v>13321.35796579569</v>
      </c>
      <c r="M81" s="46">
        <f>(SUM($AA$18:$AA$29)-SUM($AA$36,$AA$42,$AA$48,$AA$54,$AA$60,$AA$66,$AA$72:$AA$79))*Parameters!$B$37/12</f>
        <v>13321.35796579569</v>
      </c>
      <c r="N81" s="46">
        <f>(SUM($AA$18:$AA$29)-SUM($AA$36,$AA$42,$AA$48,$AA$54,$AA$60,$AA$66,$AA$72:$AA$79))*Parameters!$B$37/12</f>
        <v>13321.35796579569</v>
      </c>
      <c r="O81" s="46">
        <f>(SUM($AA$18:$AA$29)-SUM($AA$36,$AA$42,$AA$48,$AA$54,$AA$60,$AA$66,$AA$72:$AA$79))*Parameters!$B$37/12</f>
        <v>13321.35796579569</v>
      </c>
      <c r="P81" s="46">
        <f>(SUM($AA$18:$AA$29)-SUM($AA$36,$AA$42,$AA$48,$AA$54,$AA$60,$AA$66,$AA$72:$AA$79))*Parameters!$B$37/12</f>
        <v>13321.35796579569</v>
      </c>
      <c r="Q81" s="46">
        <f>(SUM($AA$18:$AA$29)-SUM($AA$36,$AA$42,$AA$48,$AA$54,$AA$60,$AA$66,$AA$72:$AA$79))*Parameters!$B$37/12</f>
        <v>13321.35796579569</v>
      </c>
      <c r="R81" s="46">
        <f>(SUM($AA$18:$AA$29)-SUM($AA$36,$AA$42,$AA$48,$AA$54,$AA$60,$AA$66,$AA$72:$AA$79))*Parameters!$B$37/12</f>
        <v>13321.35796579569</v>
      </c>
      <c r="S81" s="46">
        <f>(SUM($AA$18:$AA$29)-SUM($AA$36,$AA$42,$AA$48,$AA$54,$AA$60,$AA$66,$AA$72:$AA$79))*Parameters!$B$37/12</f>
        <v>13321.35796579569</v>
      </c>
      <c r="T81" s="46">
        <f>(SUM($AA$18:$AA$29)-SUM($AA$36,$AA$42,$AA$48,$AA$54,$AA$60,$AA$66,$AA$72:$AA$79))*Parameters!$B$37/12</f>
        <v>13321.35796579569</v>
      </c>
      <c r="U81" s="46">
        <f>(SUM($AA$18:$AA$29)-SUM($AA$36,$AA$42,$AA$48,$AA$54,$AA$60,$AA$66,$AA$72:$AA$79))*Parameters!$B$37/12</f>
        <v>13321.35796579569</v>
      </c>
      <c r="V81" s="46">
        <f>(SUM($AA$18:$AA$29)-SUM($AA$36,$AA$42,$AA$48,$AA$54,$AA$60,$AA$66,$AA$72:$AA$79))*Parameters!$B$37/12</f>
        <v>13321.35796579569</v>
      </c>
      <c r="W81" s="46">
        <f>(SUM($AA$18:$AA$29)-SUM($AA$36,$AA$42,$AA$48,$AA$54,$AA$60,$AA$66,$AA$72:$AA$79))*Parameters!$B$37/12</f>
        <v>13321.35796579569</v>
      </c>
      <c r="X81" s="46">
        <f>(SUM($AA$18:$AA$29)-SUM($AA$36,$AA$42,$AA$48,$AA$54,$AA$60,$AA$66,$AA$72:$AA$79))*Parameters!$B$37/12</f>
        <v>13321.35796579569</v>
      </c>
      <c r="Y81" s="46">
        <f>(SUM($AA$18:$AA$29)-SUM($AA$36,$AA$42,$AA$48,$AA$54,$AA$60,$AA$66,$AA$72:$AA$79))*Parameters!$B$37/12</f>
        <v>13321.35796579569</v>
      </c>
      <c r="Z81" s="46">
        <f>SUMIF($B$13:$Y$13,"Yes",B81:Y81)</f>
        <v>253105.8013501182</v>
      </c>
      <c r="AA81" s="46">
        <f>SUM(B81:M81)</f>
        <v>159856.2955895483</v>
      </c>
      <c r="AB81" s="46">
        <f>SUM(B81:Y81)</f>
        <v>319712.5911790966</v>
      </c>
    </row>
    <row r="82" spans="1:30">
      <c r="A82" s="16" t="s">
        <v>52</v>
      </c>
      <c r="B82" s="46">
        <f>SUM(B83:B87)</f>
        <v>7924.703891708968</v>
      </c>
      <c r="C82" s="46">
        <f>SUM(C83:C87)</f>
        <v>7924.703891708968</v>
      </c>
      <c r="D82" s="46">
        <f>SUM(D83:D87)</f>
        <v>7924.703891708968</v>
      </c>
      <c r="E82" s="46">
        <f>SUM(E83:E87)</f>
        <v>7924.703891708968</v>
      </c>
      <c r="F82" s="46">
        <f>SUM(F83:F87)</f>
        <v>7924.703891708968</v>
      </c>
      <c r="G82" s="46">
        <f>SUM(G83:G87)</f>
        <v>7924.703891708968</v>
      </c>
      <c r="H82" s="46">
        <f>SUM(H83:H87)</f>
        <v>7924.703891708968</v>
      </c>
      <c r="I82" s="46">
        <f>SUM(I83:I87)</f>
        <v>19193.73942470389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74666.66666666667</v>
      </c>
      <c r="AA82" s="46">
        <f>SUM(B82:M82)</f>
        <v>74666.66666666667</v>
      </c>
      <c r="AB82" s="46">
        <f>SUM(B82:Y82)</f>
        <v>74666.66666666667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7924.703891708968</v>
      </c>
      <c r="C84" s="46">
        <f>IF(Calculations!$E24&gt;COUNT(Output!$B$35:C$35),Calculations!$B24,IF(Calculations!$E24=COUNT(Output!$B$35:C$35),Inputs!$B57-Calculations!$C24*(Calculations!$E24-1)+Calculations!$D24,0))</f>
        <v>7924.703891708968</v>
      </c>
      <c r="D84" s="46">
        <f>IF(Calculations!$E24&gt;COUNT(Output!$B$35:D$35),Calculations!$B24,IF(Calculations!$E24=COUNT(Output!$B$35:D$35),Inputs!$B57-Calculations!$C24*(Calculations!$E24-1)+Calculations!$D24,0))</f>
        <v>7924.703891708968</v>
      </c>
      <c r="E84" s="46">
        <f>IF(Calculations!$E24&gt;COUNT(Output!$B$35:E$35),Calculations!$B24,IF(Calculations!$E24=COUNT(Output!$B$35:E$35),Inputs!$B57-Calculations!$C24*(Calculations!$E24-1)+Calculations!$D24,0))</f>
        <v>7924.703891708968</v>
      </c>
      <c r="F84" s="46">
        <f>IF(Calculations!$E24&gt;COUNT(Output!$B$35:F$35),Calculations!$B24,IF(Calculations!$E24=COUNT(Output!$B$35:F$35),Inputs!$B57-Calculations!$C24*(Calculations!$E24-1)+Calculations!$D24,0))</f>
        <v>7924.703891708968</v>
      </c>
      <c r="G84" s="46">
        <f>IF(Calculations!$E24&gt;COUNT(Output!$B$35:G$35),Calculations!$B24,IF(Calculations!$E24=COUNT(Output!$B$35:G$35),Inputs!$B57-Calculations!$C24*(Calculations!$E24-1)+Calculations!$D24,0))</f>
        <v>7924.703891708968</v>
      </c>
      <c r="H84" s="46">
        <f>IF(Calculations!$E24&gt;COUNT(Output!$B$35:H$35),Calculations!$B24,IF(Calculations!$E24=COUNT(Output!$B$35:H$35),Inputs!$B57-Calculations!$C24*(Calculations!$E24-1)+Calculations!$D24,0))</f>
        <v>7924.703891708968</v>
      </c>
      <c r="I84" s="46">
        <f>IF(Calculations!$E24&gt;COUNT(Output!$B$35:I$35),Calculations!$B24,IF(Calculations!$E24=COUNT(Output!$B$35:I$35),Inputs!$B57-Calculations!$C24*(Calculations!$E24-1)+Calculations!$D24,0))</f>
        <v>19193.73942470389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74666.66666666667</v>
      </c>
      <c r="AA84" s="46">
        <f>SUM(B84:M84)</f>
        <v>74666.66666666667</v>
      </c>
      <c r="AB84" s="46">
        <f>SUM(B84:Y84)</f>
        <v>74666.66666666667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26621.06185750466</v>
      </c>
      <c r="C88" s="19">
        <f>SUM(C72:C82,C66,C60,C54,C48,C42,C36)</f>
        <v>40439.06185750466</v>
      </c>
      <c r="D88" s="19">
        <f>SUM(D72:D82,D66,D60,D54,D48,D42,D36)</f>
        <v>26621.06185750466</v>
      </c>
      <c r="E88" s="19">
        <f>SUM(E72:E82,E66,E60,E54,E48,E42,E36)</f>
        <v>26621.06185750466</v>
      </c>
      <c r="F88" s="19">
        <f>SUM(F72:F82,F66,F60,F54,F48,F42,F36)</f>
        <v>26621.06185750466</v>
      </c>
      <c r="G88" s="19">
        <f>SUM(G72:G82,G66,G60,G54,G48,G42,G36)</f>
        <v>26621.06185750466</v>
      </c>
      <c r="H88" s="19">
        <f>SUM(H72:H82,H66,H60,H54,H48,H42,H36)</f>
        <v>36007.08421919744</v>
      </c>
      <c r="I88" s="19">
        <f>SUM(I72:I82,I66,I60,I54,I48,I42,I36)</f>
        <v>41890.09739049959</v>
      </c>
      <c r="J88" s="19">
        <f>SUM(J72:J82,J66,J60,J54,J48,J42,J36)</f>
        <v>18696.35796579569</v>
      </c>
      <c r="K88" s="19">
        <f>SUM(K72:K82,K66,K60,K54,K48,K42,K36)</f>
        <v>18696.35796579569</v>
      </c>
      <c r="L88" s="19">
        <f>SUM(L72:L82,L66,L60,L54,L48,L42,L36)</f>
        <v>18696.35796579569</v>
      </c>
      <c r="M88" s="19">
        <f>SUM(M72:M82,M66,M60,M54,M48,M42,M36)</f>
        <v>18696.35796579569</v>
      </c>
      <c r="N88" s="19">
        <f>SUM(N72:N82,N66,N60,N54,N48,N42,N36)</f>
        <v>18696.35796579569</v>
      </c>
      <c r="O88" s="19">
        <f>SUM(O72:O82,O66,O60,O54,O48,O42,O36)</f>
        <v>32514.35796579569</v>
      </c>
      <c r="P88" s="19">
        <f>SUM(P72:P82,P66,P60,P54,P48,P42,P36)</f>
        <v>18696.35796579569</v>
      </c>
      <c r="Q88" s="19">
        <f>SUM(Q72:Q82,Q66,Q60,Q54,Q48,Q42,Q36)</f>
        <v>18696.35796579569</v>
      </c>
      <c r="R88" s="19">
        <f>SUM(R72:R82,R66,R60,R54,R48,R42,R36)</f>
        <v>18696.35796579569</v>
      </c>
      <c r="S88" s="19">
        <f>SUM(S72:S82,S66,S60,S54,S48,S42,S36)</f>
        <v>18696.35796579569</v>
      </c>
      <c r="T88" s="19">
        <f>SUM(T72:T82,T66,T60,T54,T48,T42,T36)</f>
        <v>28082.38032748847</v>
      </c>
      <c r="U88" s="19">
        <f>SUM(U72:U82,U66,U60,U54,U48,U42,U36)</f>
        <v>22696.35796579569</v>
      </c>
      <c r="V88" s="19">
        <f>SUM(V72:V82,V66,V60,V54,V48,V42,V36)</f>
        <v>18696.35796579569</v>
      </c>
      <c r="W88" s="19">
        <f>SUM(W72:W82,W66,W60,W54,W48,W42,W36)</f>
        <v>18696.35796579569</v>
      </c>
      <c r="X88" s="19">
        <f>SUM(X72:X82,X66,X60,X54,X48,X42,X36)</f>
        <v>18696.35796579569</v>
      </c>
      <c r="Y88" s="19">
        <f>SUM(Y72:Y82,Y66,Y60,Y54,Y48,Y42,Y36)</f>
        <v>18696.35796579569</v>
      </c>
      <c r="Z88" s="19">
        <f>SUMIF($B$13:$Y$13,"Yes",B88:Y88)</f>
        <v>480305.5127401702</v>
      </c>
      <c r="AA88" s="19">
        <f>SUM(B88:M88)</f>
        <v>326226.9846179077</v>
      </c>
      <c r="AB88" s="19">
        <f>SUM(B88:Y88)</f>
        <v>577787.3025691486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400000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7790000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4</v>
      </c>
      <c r="D19" s="145">
        <v>2</v>
      </c>
      <c r="E19" s="20"/>
      <c r="F19" s="145" t="s">
        <v>93</v>
      </c>
      <c r="G19" s="20"/>
      <c r="H19" s="20"/>
      <c r="I19" s="145" t="s">
        <v>113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>
        <v>0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1500000</v>
      </c>
    </row>
    <row r="46" spans="1:48" customHeight="1" ht="30">
      <c r="A46" s="57" t="s">
        <v>133</v>
      </c>
      <c r="B46" s="161">
        <v>400000</v>
      </c>
    </row>
    <row r="47" spans="1:48" customHeight="1" ht="30">
      <c r="A47" s="57" t="s">
        <v>134</v>
      </c>
      <c r="B47" s="161">
        <v>150000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40000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160000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100000</v>
      </c>
      <c r="B57" s="157">
        <v>60000</v>
      </c>
      <c r="C57" s="164" t="s">
        <v>148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150</v>
      </c>
      <c r="C65" s="10" t="s">
        <v>151</v>
      </c>
    </row>
    <row r="66" spans="1:48">
      <c r="A66" s="142" t="s">
        <v>152</v>
      </c>
      <c r="B66" s="159">
        <v>39390</v>
      </c>
      <c r="C66" s="163">
        <v>68138</v>
      </c>
      <c r="D66" s="49">
        <f>INDEX(Parameters!$D$79:$D$90,MATCH(Inputs!A66,Parameters!$C$79:$C$90,0))</f>
        <v>7</v>
      </c>
    </row>
    <row r="67" spans="1:48">
      <c r="A67" s="143" t="s">
        <v>94</v>
      </c>
      <c r="B67" s="157">
        <v>119530</v>
      </c>
      <c r="C67" s="165">
        <v>124898</v>
      </c>
      <c r="D67" s="49">
        <f>INDEX(Parameters!$D$79:$D$90,MATCH(Inputs!A67,Parameters!$C$79:$C$90,0))</f>
        <v>8</v>
      </c>
    </row>
    <row r="68" spans="1:48">
      <c r="A68" s="143" t="s">
        <v>153</v>
      </c>
      <c r="B68" s="157">
        <v>64180</v>
      </c>
      <c r="C68" s="165">
        <v>66830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29836</v>
      </c>
      <c r="C69" s="165">
        <v>24433</v>
      </c>
      <c r="D69" s="49">
        <f>INDEX(Parameters!$D$79:$D$90,MATCH(Inputs!A69,Parameters!$C$79:$C$90,0))</f>
        <v>10</v>
      </c>
    </row>
    <row r="70" spans="1:48">
      <c r="A70" s="143" t="s">
        <v>155</v>
      </c>
      <c r="B70" s="157">
        <v>42010</v>
      </c>
      <c r="C70" s="165">
        <v>49708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73870</v>
      </c>
      <c r="C71" s="167">
        <v>75476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7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43313</v>
      </c>
      <c r="C4" s="38">
        <f>IFERROR(DATE(YEAR(B4),MONTH(B4)+ROUND(T4/2,0),DAY(B4)),B4)</f>
        <v>43313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15202.4572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303289.02114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680.1465479487517</v>
      </c>
      <c r="M5" s="30">
        <f>L5*H5</f>
        <v>2040.439643846255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38564.30926869423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4693.011180846386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145635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160000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7924.703891708968</v>
      </c>
      <c r="C24" s="46">
        <f>IF(Inputs!B57&gt;0,(Inputs!A57-Inputs!B57)/(DATE(YEAR(Inputs!$B$76),MONTH(Inputs!$B$76),DAY(Inputs!$B$76))-DATE(YEAR(Inputs!C57),MONTH(Inputs!C57),DAY(Inputs!C57)))*30,0)</f>
        <v>6091.370558375635</v>
      </c>
      <c r="D24" s="46">
        <f>IF(Inputs!B57&gt;0,Inputs!A57*0.22/12,0)</f>
        <v>1833.333333333333</v>
      </c>
      <c r="E24" s="46">
        <f>IFERROR(ROUNDUP(Inputs!B57/B24,0),0)</f>
        <v>8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43143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43132</v>
      </c>
      <c r="F33" t="s">
        <v>162</v>
      </c>
      <c r="G33" s="128">
        <f>IF(Inputs!B79="","",DATE(YEAR(Inputs!B79),MONTH(Inputs!B79),DAY(Inputs!B79)))</f>
        <v>43112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43171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43160</v>
      </c>
      <c r="F34" t="s">
        <v>163</v>
      </c>
      <c r="G34" s="128">
        <f>IF(Inputs!B80="","",DATE(YEAR(Inputs!B80),MONTH(Inputs!B80),DAY(Inputs!B80)))</f>
        <v>43143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43202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43191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43232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43221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43263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43252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43293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43282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43324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43313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43355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43344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43385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43374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43416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43405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43446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43477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43508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43536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43567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43597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43628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43658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130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130</v>
      </c>
      <c r="I77" s="12" t="s">
        <v>352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113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98</v>
      </c>
      <c r="D80" s="12">
        <f>D79+1</f>
        <v>2</v>
      </c>
      <c r="E80" s="12" t="s">
        <v>97</v>
      </c>
      <c r="F80" s="12" t="s">
        <v>363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