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<sst xmlns="http://schemas.openxmlformats.org/spreadsheetml/2006/main" uniqueCount="370">
  <si>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</si>
  <si>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</si>
  <si>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</si>
  <si>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</si>
  <si>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</si>
  <si>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</si>
  <si>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</si>
  <si>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</si>
  <si>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</si>
  <si>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</si>
  <si>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</si>
  <si>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</si>
  <si>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</si>
  <si>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</si>
  <si>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</si>
  <si>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</si>
  <si>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</si>
  <si>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</si>
  <si>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</si>
  <si>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</si>
  <si>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</si>
  <si>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</si>
  <si>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</si>
  <si>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</si>
  <si>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</si>
  <si>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</si>
  <si>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</si>
  <si>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</si>
  <si>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</si>
  <si>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</si>
  <si>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</si>
  <si>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</si>
  <si>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</si>
  <si>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</si>
  <si>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</si>
  <si>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</si>
  <si>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</si>
  <si>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</si>
  <si>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</si>
  <si>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</si>
  <si>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</si>
  <si>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</si>
  <si>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</si>
  <si>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</si>
  <si>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</si>
  <si>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</si>
  <si>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</si>
  <si>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</si>
  <si>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</si>
  <si>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</si>
  <si>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</si>
  <si>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</si>
  <si>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</si>
  <si>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</si>
  <si>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</si>
  <si>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</si>
  <si>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</si>
  <si>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</si>
  <si>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</si>
  <si>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</si>
  <si>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</si>
  <si>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</si>
  <si>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</si>
  <si>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</si>
  <si>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</si>
  <si>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</si>
  <si>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</si>
  <si>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</si>
  <si>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</si>
  <si>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</si>
  <si>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</si>
  <si>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</si>
  <si>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</si>
  <si>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</si>
  <si>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</si>
  <si>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</si>
  <si>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</si>
  <si>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</si>
  <si>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</si>
  <si>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</si>
  <si>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</si>
  <si>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</si>
  <si>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</si>
  <si>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</si>
  <si>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</si>
  <si>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</si>
  <si>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</si>
  <si>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</si>
  <si>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</si>
  <si>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</si>
  <si>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</si>
  <si>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</si>
  <si>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</si>
  <si>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</si>
  <si>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January</t>
  </si>
  <si>
    <t>Other crops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</si>
  <si>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</si>
  <si>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</si>
  <si>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</si>
  <si>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</si>
  <si>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</si>
  <si>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</si>
  <si>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</si>
  <si>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</si>
  <si>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</si>
  <si>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</si>
  <si>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</si>
  <si>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</si>
  <si>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</si>
  <si>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</si>
  <si>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</si>
  <si>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</si>
  <si>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</si>
  <si>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</si>
  <si>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</si>
  <si>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</si>
  <si>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</si>
  <si>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</si>
  <si>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</si>
  <si>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</si>
  <si>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</si>
  <si>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</si>
  <si>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</si>
  <si>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</si>
  <si>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</si>
  <si>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</si>
  <si>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</si>
  <si>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</si>
  <si>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</si>
  <si>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</si>
  <si>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</si>
  <si>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</si>
  <si>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</si>
  <si>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</si>
  <si>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</si>
  <si>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</si>
  <si>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</si>
  <si>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</si>
  <si>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</si>
  <si>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</si>
  <si>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</si>
  <si>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</si>
  <si>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4/12/2017</t>
  </si>
  <si>
    <t>Towers Sacco Society ltd</t>
  </si>
  <si>
    <t xml:space="preserve">Timely repayments </t>
  </si>
  <si>
    <t>6/13/2017</t>
  </si>
  <si>
    <t xml:space="preserve">Stanbic bank 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</si>
  <si>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</si>
  <si>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</si>
  <si>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</si>
  <si>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</si>
  <si>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</si>
  <si>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</si>
  <si>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</si>
  <si>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</si>
  <si>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</si>
  <si>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</si>
  <si>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</si>
  <si>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</si>
  <si>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2018/1/13</t>
  </si>
  <si>
    <t>Loan terms</t>
  </si>
  <si>
    <t>Expected disbursement date</t>
  </si>
  <si>
    <t>Expected first repayment date</t>
  </si>
  <si>
    <t>2018/1/19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</si>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</sst>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0.1390618784530387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100000</v>
      </c>
    </row>
    <row r="17" spans="1:7">
      <c r="B17" s="1" t="s">
        <v>11</v>
      </c>
      <c r="C17" s="36">
        <f>SUM(Output!B6:M6)</f>
        <v>-1678395.636583054</v>
      </c>
    </row>
    <row r="18" spans="1:7">
      <c r="B18" s="1" t="s">
        <v>12</v>
      </c>
      <c r="C18" s="36">
        <f>MIN(Output!B6:M6)</f>
        <v>-533088.5471887919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563770.9176524325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1800000</v>
      </c>
    </row>
    <row r="25" spans="1:7">
      <c r="B25" s="1" t="s">
        <v>18</v>
      </c>
      <c r="C25" s="36">
        <f>MAX(Inputs!A56:A60)</f>
        <v>2100000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1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-533088.5471887919</v>
      </c>
      <c r="C6" s="51">
        <f>C30-C88</f>
        <v>-514088.5471887919</v>
      </c>
      <c r="D6" s="51">
        <f>D30-D88</f>
        <v>-532088.5471887919</v>
      </c>
      <c r="E6" s="51">
        <f>E30-E88</f>
        <v>158379.9176524325</v>
      </c>
      <c r="F6" s="51">
        <f>F30-F88</f>
        <v>-252858.0471887919</v>
      </c>
      <c r="G6" s="51">
        <f>G30-G88</f>
        <v>-71110.04718879191</v>
      </c>
      <c r="H6" s="51">
        <f>H30-H88</f>
        <v>-119697.5471887919</v>
      </c>
      <c r="I6" s="51">
        <f>I30-I88</f>
        <v>-108697.5471887919</v>
      </c>
      <c r="J6" s="51">
        <f>J30-J88</f>
        <v>-126697.5471887919</v>
      </c>
      <c r="K6" s="51">
        <f>K30-K88</f>
        <v>563770.9176524325</v>
      </c>
      <c r="L6" s="51">
        <f>L30-L88</f>
        <v>-71110.04718879191</v>
      </c>
      <c r="M6" s="51">
        <f>M30-M88</f>
        <v>-71110.04718879191</v>
      </c>
      <c r="N6" s="51">
        <f>N30-N88</f>
        <v>-127697.5471887919</v>
      </c>
      <c r="O6" s="51">
        <f>O30-O88</f>
        <v>-108697.5471887919</v>
      </c>
      <c r="P6" s="51">
        <f>P30-P88</f>
        <v>-126697.5471887919</v>
      </c>
      <c r="Q6" s="51">
        <f>Q30-Q88</f>
        <v>151087.310175797</v>
      </c>
      <c r="R6" s="51">
        <f>R30-R88</f>
        <v>3392.102343918377</v>
      </c>
      <c r="S6" s="51">
        <f>S30-S88</f>
        <v>3392.102343918377</v>
      </c>
      <c r="T6" s="51">
        <f>T30-T88</f>
        <v>-45195.39765608162</v>
      </c>
      <c r="U6" s="51">
        <f>U30-U88</f>
        <v>-34195.39765608162</v>
      </c>
      <c r="V6" s="51">
        <f>V30-V88</f>
        <v>-52195.39765608162</v>
      </c>
      <c r="W6" s="51">
        <f>W30-W88</f>
        <v>638273.0671851428</v>
      </c>
      <c r="X6" s="51">
        <f>X30-X88</f>
        <v>3392.102343918377</v>
      </c>
      <c r="Y6" s="51">
        <f>Y30-Y88</f>
        <v>3392.102343918377</v>
      </c>
      <c r="Z6" s="51">
        <f>SUMIF($B$13:$Y$13,"Yes",B6:Y6)</f>
        <v>-1678395.636583054</v>
      </c>
      <c r="AA6" s="51">
        <f>AA30-AA88</f>
        <v>-1678395.636583054</v>
      </c>
      <c r="AB6" s="51">
        <f>AB30-AB88</f>
        <v>-1370145.68438106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-152934</v>
      </c>
      <c r="I7" s="80">
        <f>IF(ISERROR(VLOOKUP(MONTH(I5),Inputs!$D$66:$D$71,1,0)),"",INDEX(Inputs!$B$66:$B$71,MATCH(MONTH(Output!I5),Inputs!$D$66:$D$71,0))-INDEX(Inputs!$C$66:$C$71,MATCH(MONTH(Output!I5),Inputs!$D$66:$D$71,0)))</f>
        <v>361126</v>
      </c>
      <c r="J7" s="80">
        <f>IF(ISERROR(VLOOKUP(MONTH(J5),Inputs!$D$66:$D$71,1,0)),"",INDEX(Inputs!$B$66:$B$71,MATCH(MONTH(Output!J5),Inputs!$D$66:$D$71,0))-INDEX(Inputs!$C$66:$C$71,MATCH(MONTH(Output!J5),Inputs!$D$66:$D$71,0)))</f>
        <v>122861</v>
      </c>
      <c r="K7" s="80">
        <f>IF(ISERROR(VLOOKUP(MONTH(K5),Inputs!$D$66:$D$71,1,0)),"",INDEX(Inputs!$B$66:$B$71,MATCH(MONTH(Output!K5),Inputs!$D$66:$D$71,0))-INDEX(Inputs!$C$66:$C$71,MATCH(MONTH(Output!K5),Inputs!$D$66:$D$71,0)))</f>
        <v>-475525</v>
      </c>
      <c r="L7" s="80">
        <f>IF(ISERROR(VLOOKUP(MONTH(L5),Inputs!$D$66:$D$71,1,0)),"",INDEX(Inputs!$B$66:$B$71,MATCH(MONTH(Output!L5),Inputs!$D$66:$D$71,0))-INDEX(Inputs!$C$66:$C$71,MATCH(MONTH(Output!L5),Inputs!$D$66:$D$71,0)))</f>
        <v>68846</v>
      </c>
      <c r="M7" s="80">
        <f>IF(ISERROR(VLOOKUP(MONTH(M5),Inputs!$D$66:$D$71,1,0)),"",INDEX(Inputs!$B$66:$B$71,MATCH(MONTH(Output!M5),Inputs!$D$66:$D$71,0))-INDEX(Inputs!$C$66:$C$71,MATCH(MONTH(Output!M5),Inputs!$D$66:$D$71,0)))</f>
        <v>241254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-152934</v>
      </c>
      <c r="U7" s="80">
        <f>IF(ISERROR(VLOOKUP(MONTH(U5),Inputs!$D$66:$D$71,1,0)),"",INDEX(Inputs!$B$66:$B$71,MATCH(MONTH(Output!U5),Inputs!$D$66:$D$71,0))-INDEX(Inputs!$C$66:$C$71,MATCH(MONTH(Output!U5),Inputs!$D$66:$D$71,0)))</f>
        <v>361126</v>
      </c>
      <c r="V7" s="80">
        <f>IF(ISERROR(VLOOKUP(MONTH(V5),Inputs!$D$66:$D$71,1,0)),"",INDEX(Inputs!$B$66:$B$71,MATCH(MONTH(Output!V5),Inputs!$D$66:$D$71,0))-INDEX(Inputs!$C$66:$C$71,MATCH(MONTH(Output!V5),Inputs!$D$66:$D$71,0)))</f>
        <v>122861</v>
      </c>
      <c r="W7" s="80">
        <f>IF(ISERROR(VLOOKUP(MONTH(W5),Inputs!$D$66:$D$71,1,0)),"",INDEX(Inputs!$B$66:$B$71,MATCH(MONTH(Output!W5),Inputs!$D$66:$D$71,0))-INDEX(Inputs!$C$66:$C$71,MATCH(MONTH(Output!W5),Inputs!$D$66:$D$71,0)))</f>
        <v>-475525</v>
      </c>
      <c r="X7" s="80">
        <f>IF(ISERROR(VLOOKUP(MONTH(X5),Inputs!$D$66:$D$71,1,0)),"",INDEX(Inputs!$B$66:$B$71,MATCH(MONTH(Output!X5),Inputs!$D$66:$D$71,0))-INDEX(Inputs!$C$66:$C$71,MATCH(MONTH(Output!X5),Inputs!$D$66:$D$71,0)))</f>
        <v>68846</v>
      </c>
      <c r="Y7" s="80">
        <f>IF(ISERROR(VLOOKUP(MONTH(Y5),Inputs!$D$66:$D$71,1,0)),"",INDEX(Inputs!$B$66:$B$71,MATCH(MONTH(Output!Y5),Inputs!$D$66:$D$71,0))-INDEX(Inputs!$C$66:$C$71,MATCH(MONTH(Output!Y5),Inputs!$D$66:$D$71,0)))</f>
        <v>241254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100000</v>
      </c>
      <c r="C10" s="37">
        <f>SUMPRODUCT((Calculations!$D$33:$D$84=Output!C5)+0,Calculations!$C$33:$C$84)</f>
        <v>100000</v>
      </c>
      <c r="D10" s="37">
        <f>SUMPRODUCT((Calculations!$D$33:$D$84=Output!D5)+0,Calculations!$C$33:$C$84)</f>
        <v>100000</v>
      </c>
      <c r="E10" s="37">
        <f>SUMPRODUCT((Calculations!$D$33:$D$84=Output!E5)+0,Calculations!$C$33:$C$84)</f>
        <v>100000</v>
      </c>
      <c r="F10" s="37">
        <f>SUMPRODUCT((Calculations!$D$33:$D$84=Output!F5)+0,Calculations!$C$33:$C$84)</f>
        <v>100000</v>
      </c>
      <c r="G10" s="37">
        <f>SUMPRODUCT((Calculations!$D$33:$D$84=Output!G5)+0,Calculations!$C$33:$C$84)</f>
        <v>100000</v>
      </c>
      <c r="H10" s="37">
        <f>SUMPRODUCT((Calculations!$D$33:$D$84=Output!H5)+0,Calculations!$C$33:$C$84)</f>
        <v>100000</v>
      </c>
      <c r="I10" s="37">
        <f>SUMPRODUCT((Calculations!$D$33:$D$84=Output!I5)+0,Calculations!$C$33:$C$84)</f>
        <v>100000</v>
      </c>
      <c r="J10" s="37">
        <f>SUMPRODUCT((Calculations!$D$33:$D$84=Output!J5)+0,Calculations!$C$33:$C$84)</f>
        <v>100000</v>
      </c>
      <c r="K10" s="37">
        <f>SUMPRODUCT((Calculations!$D$33:$D$84=Output!K5)+0,Calculations!$C$33:$C$84)</f>
        <v>100000</v>
      </c>
      <c r="L10" s="37">
        <f>SUMPRODUCT((Calculations!$D$33:$D$84=Output!L5)+0,Calculations!$C$33:$C$84)</f>
        <v>100000</v>
      </c>
      <c r="M10" s="37">
        <f>SUMPRODUCT((Calculations!$D$33:$D$84=Output!M5)+0,Calculations!$C$33:$C$84)</f>
        <v>100000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1200000</v>
      </c>
      <c r="AA10" s="37">
        <f>SUM(B10:M10)</f>
        <v>1200000</v>
      </c>
      <c r="AB10" s="37">
        <f>SUM(B10:Y10)</f>
        <v>1200000</v>
      </c>
    </row>
    <row r="11" spans="1:30" customHeight="1" ht="15.75">
      <c r="A11" s="43" t="s">
        <v>31</v>
      </c>
      <c r="B11" s="80">
        <f>B6+B9-B10</f>
        <v>366911.4528112081</v>
      </c>
      <c r="C11" s="80">
        <f>C6+C9-C10</f>
        <v>-614088.5471887919</v>
      </c>
      <c r="D11" s="80">
        <f>D6+D9-D10</f>
        <v>-632088.5471887919</v>
      </c>
      <c r="E11" s="80">
        <f>E6+E9-E10</f>
        <v>58379.91765243246</v>
      </c>
      <c r="F11" s="80">
        <f>F6+F9-F10</f>
        <v>-352858.0471887919</v>
      </c>
      <c r="G11" s="80">
        <f>G6+G9-G10</f>
        <v>-171110.0471887919</v>
      </c>
      <c r="H11" s="80">
        <f>H6+H9-H10</f>
        <v>-219697.5471887919</v>
      </c>
      <c r="I11" s="80">
        <f>I6+I9-I10</f>
        <v>-208697.5471887919</v>
      </c>
      <c r="J11" s="80">
        <f>J6+J9-J10</f>
        <v>-226697.5471887919</v>
      </c>
      <c r="K11" s="80">
        <f>K6+K9-K10</f>
        <v>463770.9176524325</v>
      </c>
      <c r="L11" s="80">
        <f>L6+L9-L10</f>
        <v>-171110.0471887919</v>
      </c>
      <c r="M11" s="80">
        <f>M6+M9-M10</f>
        <v>-171110.0471887919</v>
      </c>
      <c r="N11" s="80">
        <f>N6+N9-N10</f>
        <v>-127697.5471887919</v>
      </c>
      <c r="O11" s="80">
        <f>O6+O9-O10</f>
        <v>-108697.5471887919</v>
      </c>
      <c r="P11" s="80">
        <f>P6+P9-P10</f>
        <v>-126697.5471887919</v>
      </c>
      <c r="Q11" s="80">
        <f>Q6+Q9-Q10</f>
        <v>151087.310175797</v>
      </c>
      <c r="R11" s="80">
        <f>R6+R9-R10</f>
        <v>3392.102343918377</v>
      </c>
      <c r="S11" s="80">
        <f>S6+S9-S10</f>
        <v>3392.102343918377</v>
      </c>
      <c r="T11" s="80">
        <f>T6+T9-T10</f>
        <v>-45195.39765608162</v>
      </c>
      <c r="U11" s="80">
        <f>U6+U9-U10</f>
        <v>-34195.39765608162</v>
      </c>
      <c r="V11" s="80">
        <f>V6+V9-V10</f>
        <v>-52195.39765608162</v>
      </c>
      <c r="W11" s="80">
        <f>W6+W9-W10</f>
        <v>638273.0671851428</v>
      </c>
      <c r="X11" s="80">
        <f>X6+X9-X10</f>
        <v>3392.102343918377</v>
      </c>
      <c r="Y11" s="80">
        <f>Y6+Y9-Y10</f>
        <v>3392.102343918377</v>
      </c>
      <c r="Z11" s="85">
        <f>SUMIF($B$13:$Y$13,"Yes",B11:Y11)</f>
        <v>-1878395.636583054</v>
      </c>
      <c r="AA11" s="80">
        <f>SUM(B11:M11)</f>
        <v>-1878395.636583054</v>
      </c>
      <c r="AB11" s="46">
        <f>SUM(B11:Y11)</f>
        <v>-1570145.684381062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0.214173371413175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672468.4648412244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672468.4648412244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672468.4648412244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672468.4648412244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1344936.929682449</v>
      </c>
      <c r="AA18" s="36">
        <f>SUM(B18:M18)</f>
        <v>1344936.929682449</v>
      </c>
      <c r="AB18" s="36">
        <f>SUM(B18:Y18)</f>
        <v>2689873.859364897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1200000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100000</v>
      </c>
      <c r="C30" s="19">
        <f>SUM(C18:C29)</f>
        <v>100000</v>
      </c>
      <c r="D30" s="19">
        <f>SUM(D18:D29)</f>
        <v>100000</v>
      </c>
      <c r="E30" s="19">
        <f>SUM(E18:E29)</f>
        <v>772468.4648412244</v>
      </c>
      <c r="F30" s="19">
        <f>SUM(F18:F29)</f>
        <v>100000</v>
      </c>
      <c r="G30" s="19">
        <f>SUM(G18:G29)</f>
        <v>100000</v>
      </c>
      <c r="H30" s="19">
        <f>SUM(H18:H29)</f>
        <v>100000</v>
      </c>
      <c r="I30" s="19">
        <f>SUM(I18:I29)</f>
        <v>100000</v>
      </c>
      <c r="J30" s="19">
        <f>SUM(J18:J29)</f>
        <v>100000</v>
      </c>
      <c r="K30" s="19">
        <f>SUM(K18:K29)</f>
        <v>772468.4648412244</v>
      </c>
      <c r="L30" s="19">
        <f>SUM(L18:L29)</f>
        <v>100000</v>
      </c>
      <c r="M30" s="19">
        <f>SUM(M18:M29)</f>
        <v>100000</v>
      </c>
      <c r="N30" s="19">
        <f>SUM(N18:N29)</f>
        <v>100000</v>
      </c>
      <c r="O30" s="19">
        <f>SUM(O18:O29)</f>
        <v>100000</v>
      </c>
      <c r="P30" s="19">
        <f>SUM(P18:P29)</f>
        <v>100000</v>
      </c>
      <c r="Q30" s="19">
        <f>SUM(Q18:Q29)</f>
        <v>772468.4648412244</v>
      </c>
      <c r="R30" s="19">
        <f>SUM(R18:R29)</f>
        <v>100000</v>
      </c>
      <c r="S30" s="19">
        <f>SUM(S18:S29)</f>
        <v>100000</v>
      </c>
      <c r="T30" s="19">
        <f>SUM(T18:T29)</f>
        <v>100000</v>
      </c>
      <c r="U30" s="19">
        <f>SUM(U18:U29)</f>
        <v>100000</v>
      </c>
      <c r="V30" s="19">
        <f>SUM(V18:V29)</f>
        <v>100000</v>
      </c>
      <c r="W30" s="19">
        <f>SUM(W18:W29)</f>
        <v>772468.4648412244</v>
      </c>
      <c r="X30" s="19">
        <f>SUM(X18:X29)</f>
        <v>100000</v>
      </c>
      <c r="Y30" s="19">
        <f>SUM(Y18:Y29)</f>
        <v>100000</v>
      </c>
      <c r="Z30" s="19">
        <f>SUMIF($B$13:$Y$13,"Yes",B30:Y30)</f>
        <v>2544936.929682449</v>
      </c>
      <c r="AA30" s="19">
        <f>SUM(B30:M30)</f>
        <v>2544936.929682449</v>
      </c>
      <c r="AB30" s="19">
        <f>SUM(B30:Y30)</f>
        <v>5089873.859364897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Tomatoes</v>
      </c>
      <c r="B37" s="36">
        <f>N37</f>
        <v>8000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8000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8000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8000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Other crops</v>
      </c>
      <c r="B38" s="36">
        <f>N38</f>
        <v>8000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8000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6000</v>
      </c>
      <c r="AA42" s="36">
        <f>SUM(B42:M42)</f>
        <v>6000</v>
      </c>
      <c r="AB42" s="36">
        <f>SUM(B42:Y42)</f>
        <v>12000</v>
      </c>
    </row>
    <row r="43" spans="1:30" hidden="true" outlineLevel="1">
      <c r="A43" s="181" t="str">
        <f>Calculations!$A$4</f>
        <v>Tomatoes</v>
      </c>
      <c r="B43" s="36">
        <f>N43</f>
        <v>3000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18000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18000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18000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18000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36000</v>
      </c>
      <c r="AA48" s="46">
        <f>SUM(B48:M48)</f>
        <v>36000</v>
      </c>
      <c r="AB48" s="46">
        <f>SUM(B48:Y48)</f>
        <v>72000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18000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18000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18000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18000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6000</v>
      </c>
      <c r="E60" s="36">
        <f>Q60</f>
        <v>6000</v>
      </c>
      <c r="F60" s="36">
        <f>R60</f>
        <v>0</v>
      </c>
      <c r="G60" s="36">
        <f>S60</f>
        <v>0</v>
      </c>
      <c r="H60" s="36">
        <f>T60</f>
        <v>6000</v>
      </c>
      <c r="I60" s="36">
        <f>U60</f>
        <v>6000</v>
      </c>
      <c r="J60" s="36">
        <f>V60</f>
        <v>6000</v>
      </c>
      <c r="K60" s="36">
        <f>W60</f>
        <v>6000</v>
      </c>
      <c r="L60" s="36">
        <f>X60</f>
        <v>0</v>
      </c>
      <c r="M60" s="36">
        <f>Y60</f>
        <v>0</v>
      </c>
      <c r="N60" s="46">
        <f>SUM(N61:N65)</f>
        <v>6000</v>
      </c>
      <c r="O60" s="46">
        <f>SUM(O61:O65)</f>
        <v>6000</v>
      </c>
      <c r="P60" s="46">
        <f>SUM(P61:P65)</f>
        <v>6000</v>
      </c>
      <c r="Q60" s="46">
        <f>SUM(Q61:Q65)</f>
        <v>6000</v>
      </c>
      <c r="R60" s="46">
        <f>SUM(R61:R65)</f>
        <v>0</v>
      </c>
      <c r="S60" s="46">
        <f>SUM(S61:S65)</f>
        <v>0</v>
      </c>
      <c r="T60" s="46">
        <f>SUM(T61:T65)</f>
        <v>6000</v>
      </c>
      <c r="U60" s="46">
        <f>SUM(U61:U65)</f>
        <v>6000</v>
      </c>
      <c r="V60" s="46">
        <f>SUM(V61:V65)</f>
        <v>6000</v>
      </c>
      <c r="W60" s="46">
        <f>SUM(W61:W65)</f>
        <v>6000</v>
      </c>
      <c r="X60" s="46">
        <f>SUM(X61:X65)</f>
        <v>0</v>
      </c>
      <c r="Y60" s="46">
        <f>SUM(Y61:Y65)</f>
        <v>0</v>
      </c>
      <c r="Z60" s="46">
        <f>SUMIF($B$13:$Y$13,"Yes",B60:Y60)</f>
        <v>48000</v>
      </c>
      <c r="AA60" s="46">
        <f>SUM(B60:M60)</f>
        <v>48000</v>
      </c>
      <c r="AB60" s="46">
        <f>SUM(B60:Y60)</f>
        <v>96000</v>
      </c>
    </row>
    <row r="61" spans="1:30" hidden="true" outlineLevel="1">
      <c r="A61" s="181" t="str">
        <f>Calculations!$A$4</f>
        <v>Tomatoes</v>
      </c>
      <c r="B61" s="36">
        <f>N61</f>
        <v>6000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0</v>
      </c>
      <c r="G61" s="36">
        <f>S61</f>
        <v>0</v>
      </c>
      <c r="H61" s="36">
        <f>T61</f>
        <v>6000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48000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31587.5</v>
      </c>
      <c r="C66" s="36">
        <f>O66</f>
        <v>31587.5</v>
      </c>
      <c r="D66" s="36">
        <f>P66</f>
        <v>31587.5</v>
      </c>
      <c r="E66" s="36">
        <f>Q66</f>
        <v>31587.5</v>
      </c>
      <c r="F66" s="36">
        <f>R66</f>
        <v>0</v>
      </c>
      <c r="G66" s="36">
        <f>S66</f>
        <v>0</v>
      </c>
      <c r="H66" s="36">
        <f>T66</f>
        <v>31587.5</v>
      </c>
      <c r="I66" s="36">
        <f>U66</f>
        <v>31587.5</v>
      </c>
      <c r="J66" s="36">
        <f>V66</f>
        <v>31587.5</v>
      </c>
      <c r="K66" s="36">
        <f>W66</f>
        <v>31587.5</v>
      </c>
      <c r="L66" s="36">
        <f>X66</f>
        <v>0</v>
      </c>
      <c r="M66" s="36">
        <f>Y66</f>
        <v>0</v>
      </c>
      <c r="N66" s="46">
        <f>SUM(N67:N71)</f>
        <v>31587.5</v>
      </c>
      <c r="O66" s="46">
        <f>SUM(O67:O71)</f>
        <v>31587.5</v>
      </c>
      <c r="P66" s="46">
        <f>SUM(P67:P71)</f>
        <v>31587.5</v>
      </c>
      <c r="Q66" s="46">
        <f>SUM(Q67:Q71)</f>
        <v>31587.5</v>
      </c>
      <c r="R66" s="46">
        <f>SUM(R67:R71)</f>
        <v>0</v>
      </c>
      <c r="S66" s="46">
        <f>SUM(S67:S71)</f>
        <v>0</v>
      </c>
      <c r="T66" s="46">
        <f>SUM(T67:T71)</f>
        <v>31587.5</v>
      </c>
      <c r="U66" s="46">
        <f>SUM(U67:U71)</f>
        <v>31587.5</v>
      </c>
      <c r="V66" s="46">
        <f>SUM(V67:V71)</f>
        <v>31587.5</v>
      </c>
      <c r="W66" s="46">
        <f>SUM(W67:W71)</f>
        <v>31587.5</v>
      </c>
      <c r="X66" s="46">
        <f>SUM(X67:X71)</f>
        <v>0</v>
      </c>
      <c r="Y66" s="46">
        <f>SUM(Y67:Y71)</f>
        <v>0</v>
      </c>
      <c r="Z66" s="46">
        <f>SUMIF($B$13:$Y$13,"Yes",B66:Y66)</f>
        <v>252700</v>
      </c>
      <c r="AA66" s="46">
        <f>SUM(B66:M66)</f>
        <v>252700</v>
      </c>
      <c r="AB66" s="46">
        <f>SUM(B66:Y66)</f>
        <v>505400</v>
      </c>
    </row>
    <row r="67" spans="1:30" hidden="true" outlineLevel="1">
      <c r="A67" s="181" t="str">
        <f>Calculations!$A$4</f>
        <v>Tomatoes</v>
      </c>
      <c r="B67" s="36">
        <f>N67</f>
        <v>31587.5</v>
      </c>
      <c r="C67" s="36">
        <f>O67</f>
        <v>31587.5</v>
      </c>
      <c r="D67" s="36">
        <f>P67</f>
        <v>31587.5</v>
      </c>
      <c r="E67" s="36">
        <f>Q67</f>
        <v>31587.5</v>
      </c>
      <c r="F67" s="36">
        <f>R67</f>
        <v>0</v>
      </c>
      <c r="G67" s="36">
        <f>S67</f>
        <v>0</v>
      </c>
      <c r="H67" s="36">
        <f>T67</f>
        <v>31587.5</v>
      </c>
      <c r="I67" s="36">
        <f>U67</f>
        <v>31587.5</v>
      </c>
      <c r="J67" s="36">
        <f>V67</f>
        <v>31587.5</v>
      </c>
      <c r="K67" s="36">
        <f>W67</f>
        <v>31587.5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31587.5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31587.5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31587.5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31587.5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31587.5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31587.5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31587.5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31587.5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252700</v>
      </c>
      <c r="AA67" s="46">
        <f>SUM(B67:M67)</f>
        <v>252700</v>
      </c>
      <c r="AB67" s="46">
        <f>SUM(B67:Y67)</f>
        <v>505400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480000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56607.89765608162</v>
      </c>
      <c r="C81" s="46">
        <f>(SUM($AA$18:$AA$29)-SUM($AA$36,$AA$42,$AA$48,$AA$54,$AA$60,$AA$66,$AA$72:$AA$79))*Parameters!$B$37/12</f>
        <v>56607.89765608162</v>
      </c>
      <c r="D81" s="46">
        <f>(SUM($AA$18:$AA$29)-SUM($AA$36,$AA$42,$AA$48,$AA$54,$AA$60,$AA$66,$AA$72:$AA$79))*Parameters!$B$37/12</f>
        <v>56607.89765608162</v>
      </c>
      <c r="E81" s="46">
        <f>(SUM($AA$18:$AA$29)-SUM($AA$36,$AA$42,$AA$48,$AA$54,$AA$60,$AA$66,$AA$72:$AA$79))*Parameters!$B$37/12</f>
        <v>56607.89765608162</v>
      </c>
      <c r="F81" s="46">
        <f>(SUM($AA$18:$AA$29)-SUM($AA$36,$AA$42,$AA$48,$AA$54,$AA$60,$AA$66,$AA$72:$AA$79))*Parameters!$B$37/12</f>
        <v>56607.89765608162</v>
      </c>
      <c r="G81" s="46">
        <f>(SUM($AA$18:$AA$29)-SUM($AA$36,$AA$42,$AA$48,$AA$54,$AA$60,$AA$66,$AA$72:$AA$79))*Parameters!$B$37/12</f>
        <v>56607.89765608162</v>
      </c>
      <c r="H81" s="46">
        <f>(SUM($AA$18:$AA$29)-SUM($AA$36,$AA$42,$AA$48,$AA$54,$AA$60,$AA$66,$AA$72:$AA$79))*Parameters!$B$37/12</f>
        <v>56607.89765608162</v>
      </c>
      <c r="I81" s="46">
        <f>(SUM($AA$18:$AA$29)-SUM($AA$36,$AA$42,$AA$48,$AA$54,$AA$60,$AA$66,$AA$72:$AA$79))*Parameters!$B$37/12</f>
        <v>56607.89765608162</v>
      </c>
      <c r="J81" s="46">
        <f>(SUM($AA$18:$AA$29)-SUM($AA$36,$AA$42,$AA$48,$AA$54,$AA$60,$AA$66,$AA$72:$AA$79))*Parameters!$B$37/12</f>
        <v>56607.89765608162</v>
      </c>
      <c r="K81" s="46">
        <f>(SUM($AA$18:$AA$29)-SUM($AA$36,$AA$42,$AA$48,$AA$54,$AA$60,$AA$66,$AA$72:$AA$79))*Parameters!$B$37/12</f>
        <v>56607.89765608162</v>
      </c>
      <c r="L81" s="46">
        <f>(SUM($AA$18:$AA$29)-SUM($AA$36,$AA$42,$AA$48,$AA$54,$AA$60,$AA$66,$AA$72:$AA$79))*Parameters!$B$37/12</f>
        <v>56607.89765608162</v>
      </c>
      <c r="M81" s="46">
        <f>(SUM($AA$18:$AA$29)-SUM($AA$36,$AA$42,$AA$48,$AA$54,$AA$60,$AA$66,$AA$72:$AA$79))*Parameters!$B$37/12</f>
        <v>56607.89765608162</v>
      </c>
      <c r="N81" s="46">
        <f>(SUM($AA$18:$AA$29)-SUM($AA$36,$AA$42,$AA$48,$AA$54,$AA$60,$AA$66,$AA$72:$AA$79))*Parameters!$B$37/12</f>
        <v>56607.89765608162</v>
      </c>
      <c r="O81" s="46">
        <f>(SUM($AA$18:$AA$29)-SUM($AA$36,$AA$42,$AA$48,$AA$54,$AA$60,$AA$66,$AA$72:$AA$79))*Parameters!$B$37/12</f>
        <v>56607.89765608162</v>
      </c>
      <c r="P81" s="46">
        <f>(SUM($AA$18:$AA$29)-SUM($AA$36,$AA$42,$AA$48,$AA$54,$AA$60,$AA$66,$AA$72:$AA$79))*Parameters!$B$37/12</f>
        <v>56607.89765608162</v>
      </c>
      <c r="Q81" s="46">
        <f>(SUM($AA$18:$AA$29)-SUM($AA$36,$AA$42,$AA$48,$AA$54,$AA$60,$AA$66,$AA$72:$AA$79))*Parameters!$B$37/12</f>
        <v>56607.89765608162</v>
      </c>
      <c r="R81" s="46">
        <f>(SUM($AA$18:$AA$29)-SUM($AA$36,$AA$42,$AA$48,$AA$54,$AA$60,$AA$66,$AA$72:$AA$79))*Parameters!$B$37/12</f>
        <v>56607.89765608162</v>
      </c>
      <c r="S81" s="46">
        <f>(SUM($AA$18:$AA$29)-SUM($AA$36,$AA$42,$AA$48,$AA$54,$AA$60,$AA$66,$AA$72:$AA$79))*Parameters!$B$37/12</f>
        <v>56607.89765608162</v>
      </c>
      <c r="T81" s="46">
        <f>(SUM($AA$18:$AA$29)-SUM($AA$36,$AA$42,$AA$48,$AA$54,$AA$60,$AA$66,$AA$72:$AA$79))*Parameters!$B$37/12</f>
        <v>56607.89765608162</v>
      </c>
      <c r="U81" s="46">
        <f>(SUM($AA$18:$AA$29)-SUM($AA$36,$AA$42,$AA$48,$AA$54,$AA$60,$AA$66,$AA$72:$AA$79))*Parameters!$B$37/12</f>
        <v>56607.89765608162</v>
      </c>
      <c r="V81" s="46">
        <f>(SUM($AA$18:$AA$29)-SUM($AA$36,$AA$42,$AA$48,$AA$54,$AA$60,$AA$66,$AA$72:$AA$79))*Parameters!$B$37/12</f>
        <v>56607.89765608162</v>
      </c>
      <c r="W81" s="46">
        <f>(SUM($AA$18:$AA$29)-SUM($AA$36,$AA$42,$AA$48,$AA$54,$AA$60,$AA$66,$AA$72:$AA$79))*Parameters!$B$37/12</f>
        <v>56607.89765608162</v>
      </c>
      <c r="X81" s="46">
        <f>(SUM($AA$18:$AA$29)-SUM($AA$36,$AA$42,$AA$48,$AA$54,$AA$60,$AA$66,$AA$72:$AA$79))*Parameters!$B$37/12</f>
        <v>56607.89765608162</v>
      </c>
      <c r="Y81" s="46">
        <f>(SUM($AA$18:$AA$29)-SUM($AA$36,$AA$42,$AA$48,$AA$54,$AA$60,$AA$66,$AA$72:$AA$79))*Parameters!$B$37/12</f>
        <v>56607.89765608162</v>
      </c>
      <c r="Z81" s="46">
        <f>SUMIF($B$13:$Y$13,"Yes",B81:Y81)</f>
        <v>679294.7718729792</v>
      </c>
      <c r="AA81" s="46">
        <f>SUM(B81:M81)</f>
        <v>679294.7718729792</v>
      </c>
      <c r="AB81" s="46">
        <f>SUM(B81:Y81)</f>
        <v>1358589.543745959</v>
      </c>
    </row>
    <row r="82" spans="1:30">
      <c r="A82" s="16" t="s">
        <v>52</v>
      </c>
      <c r="B82" s="46">
        <f>SUM(B83:B87)</f>
        <v>479893.1495327103</v>
      </c>
      <c r="C82" s="46">
        <f>SUM(C83:C87)</f>
        <v>479893.1495327103</v>
      </c>
      <c r="D82" s="46">
        <f>SUM(D83:D87)</f>
        <v>479893.1495327103</v>
      </c>
      <c r="E82" s="46">
        <f>SUM(E83:E87)</f>
        <v>479893.1495327103</v>
      </c>
      <c r="F82" s="46">
        <f>SUM(F83:F87)</f>
        <v>256250.1495327103</v>
      </c>
      <c r="G82" s="46">
        <f>SUM(G83:G87)</f>
        <v>74502.14953271029</v>
      </c>
      <c r="H82" s="46">
        <f>SUM(H83:H87)</f>
        <v>74502.14953271029</v>
      </c>
      <c r="I82" s="46">
        <f>SUM(I83:I87)</f>
        <v>74502.14953271029</v>
      </c>
      <c r="J82" s="46">
        <f>SUM(J83:J87)</f>
        <v>74502.14953271029</v>
      </c>
      <c r="K82" s="46">
        <f>SUM(K83:K87)</f>
        <v>74502.14953271029</v>
      </c>
      <c r="L82" s="46">
        <f>SUM(L83:L87)</f>
        <v>74502.14953271029</v>
      </c>
      <c r="M82" s="46">
        <f>SUM(M83:M87)</f>
        <v>74502.14953271029</v>
      </c>
      <c r="N82" s="46">
        <f>SUM(N83:N87)</f>
        <v>74502.14953271029</v>
      </c>
      <c r="O82" s="46">
        <f>SUM(O83:O87)</f>
        <v>74502.14953271029</v>
      </c>
      <c r="P82" s="46">
        <f>SUM(P83:P87)</f>
        <v>74502.14953271029</v>
      </c>
      <c r="Q82" s="46">
        <f>SUM(Q83:Q87)</f>
        <v>487185.7570093458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2697337.794392523</v>
      </c>
      <c r="AA82" s="46">
        <f>SUM(B82:M82)</f>
        <v>2697337.794392523</v>
      </c>
      <c r="AB82" s="46">
        <f>SUM(B82:Y82)</f>
        <v>3408029.999999999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405391</v>
      </c>
      <c r="C83" s="46">
        <f>IF(Calculations!$E23&gt;COUNT(Output!$B$35:C$35),Calculations!$B23,IF(Calculations!$E23=COUNT(Output!$B$35:C$35),Inputs!$B56-Calculations!$C23*(Calculations!$E23-1)+Calculations!$D23,0))</f>
        <v>405391</v>
      </c>
      <c r="D83" s="46">
        <f>IF(Calculations!$E23&gt;COUNT(Output!$B$35:D$35),Calculations!$B23,IF(Calculations!$E23=COUNT(Output!$B$35:D$35),Inputs!$B56-Calculations!$C23*(Calculations!$E23-1)+Calculations!$D23,0))</f>
        <v>405391</v>
      </c>
      <c r="E83" s="46">
        <f>IF(Calculations!$E23&gt;COUNT(Output!$B$35:E$35),Calculations!$B23,IF(Calculations!$E23=COUNT(Output!$B$35:E$35),Inputs!$B56-Calculations!$C23*(Calculations!$E23-1)+Calculations!$D23,0))</f>
        <v>405391</v>
      </c>
      <c r="F83" s="46">
        <f>IF(Calculations!$E23&gt;COUNT(Output!$B$35:F$35),Calculations!$B23,IF(Calculations!$E23=COUNT(Output!$B$35:F$35),Inputs!$B56-Calculations!$C23*(Calculations!$E23-1)+Calculations!$D23,0))</f>
        <v>181748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1803312</v>
      </c>
      <c r="AA83" s="46">
        <f>SUM(B83:M83)</f>
        <v>1803312</v>
      </c>
      <c r="AB83" s="46">
        <f>SUM(B83:Y83)</f>
        <v>1803312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74502.14953271029</v>
      </c>
      <c r="C84" s="46">
        <f>IF(Calculations!$E24&gt;COUNT(Output!$B$35:C$35),Calculations!$B24,IF(Calculations!$E24=COUNT(Output!$B$35:C$35),Inputs!$B57-Calculations!$C24*(Calculations!$E24-1)+Calculations!$D24,0))</f>
        <v>74502.14953271029</v>
      </c>
      <c r="D84" s="46">
        <f>IF(Calculations!$E24&gt;COUNT(Output!$B$35:D$35),Calculations!$B24,IF(Calculations!$E24=COUNT(Output!$B$35:D$35),Inputs!$B57-Calculations!$C24*(Calculations!$E24-1)+Calculations!$D24,0))</f>
        <v>74502.14953271029</v>
      </c>
      <c r="E84" s="46">
        <f>IF(Calculations!$E24&gt;COUNT(Output!$B$35:E$35),Calculations!$B24,IF(Calculations!$E24=COUNT(Output!$B$35:E$35),Inputs!$B57-Calculations!$C24*(Calculations!$E24-1)+Calculations!$D24,0))</f>
        <v>74502.14953271029</v>
      </c>
      <c r="F84" s="46">
        <f>IF(Calculations!$E24&gt;COUNT(Output!$B$35:F$35),Calculations!$B24,IF(Calculations!$E24=COUNT(Output!$B$35:F$35),Inputs!$B57-Calculations!$C24*(Calculations!$E24-1)+Calculations!$D24,0))</f>
        <v>74502.14953271029</v>
      </c>
      <c r="G84" s="46">
        <f>IF(Calculations!$E24&gt;COUNT(Output!$B$35:G$35),Calculations!$B24,IF(Calculations!$E24=COUNT(Output!$B$35:G$35),Inputs!$B57-Calculations!$C24*(Calculations!$E24-1)+Calculations!$D24,0))</f>
        <v>74502.14953271029</v>
      </c>
      <c r="H84" s="46">
        <f>IF(Calculations!$E24&gt;COUNT(Output!$B$35:H$35),Calculations!$B24,IF(Calculations!$E24=COUNT(Output!$B$35:H$35),Inputs!$B57-Calculations!$C24*(Calculations!$E24-1)+Calculations!$D24,0))</f>
        <v>74502.14953271029</v>
      </c>
      <c r="I84" s="46">
        <f>IF(Calculations!$E24&gt;COUNT(Output!$B$35:I$35),Calculations!$B24,IF(Calculations!$E24=COUNT(Output!$B$35:I$35),Inputs!$B57-Calculations!$C24*(Calculations!$E24-1)+Calculations!$D24,0))</f>
        <v>74502.14953271029</v>
      </c>
      <c r="J84" s="46">
        <f>IF(Calculations!$E24&gt;COUNT(Output!$B$35:J$35),Calculations!$B24,IF(Calculations!$E24=COUNT(Output!$B$35:J$35),Inputs!$B57-Calculations!$C24*(Calculations!$E24-1)+Calculations!$D24,0))</f>
        <v>74502.14953271029</v>
      </c>
      <c r="K84" s="46">
        <f>IF(Calculations!$E24&gt;COUNT(Output!$B$35:K$35),Calculations!$B24,IF(Calculations!$E24=COUNT(Output!$B$35:K$35),Inputs!$B57-Calculations!$C24*(Calculations!$E24-1)+Calculations!$D24,0))</f>
        <v>74502.14953271029</v>
      </c>
      <c r="L84" s="46">
        <f>IF(Calculations!$E24&gt;COUNT(Output!$B$35:L$35),Calculations!$B24,IF(Calculations!$E24=COUNT(Output!$B$35:L$35),Inputs!$B57-Calculations!$C24*(Calculations!$E24-1)+Calculations!$D24,0))</f>
        <v>74502.14953271029</v>
      </c>
      <c r="M84" s="46">
        <f>IF(Calculations!$E24&gt;COUNT(Output!$B$35:M$35),Calculations!$B24,IF(Calculations!$E24=COUNT(Output!$B$35:M$35),Inputs!$B57-Calculations!$C24*(Calculations!$E24-1)+Calculations!$D24,0))</f>
        <v>74502.14953271029</v>
      </c>
      <c r="N84" s="46">
        <f>IF(Calculations!$E24&gt;COUNT(Output!$B$35:N$35),Calculations!$B24,IF(Calculations!$E24=COUNT(Output!$B$35:N$35),Inputs!$B57-Calculations!$C24*(Calculations!$E24-1)+Calculations!$D24,0))</f>
        <v>74502.14953271029</v>
      </c>
      <c r="O84" s="46">
        <f>IF(Calculations!$E24&gt;COUNT(Output!$B$35:O$35),Calculations!$B24,IF(Calculations!$E24=COUNT(Output!$B$35:O$35),Inputs!$B57-Calculations!$C24*(Calculations!$E24-1)+Calculations!$D24,0))</f>
        <v>74502.14953271029</v>
      </c>
      <c r="P84" s="46">
        <f>IF(Calculations!$E24&gt;COUNT(Output!$B$35:P$35),Calculations!$B24,IF(Calculations!$E24=COUNT(Output!$B$35:P$35),Inputs!$B57-Calculations!$C24*(Calculations!$E24-1)+Calculations!$D24,0))</f>
        <v>74502.14953271029</v>
      </c>
      <c r="Q84" s="46">
        <f>IF(Calculations!$E24&gt;COUNT(Output!$B$35:Q$35),Calculations!$B24,IF(Calculations!$E24=COUNT(Output!$B$35:Q$35),Inputs!$B57-Calculations!$C24*(Calculations!$E24-1)+Calculations!$D24,0))</f>
        <v>487185.7570093458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894025.7943925237</v>
      </c>
      <c r="AA84" s="46">
        <f>SUM(B84:M84)</f>
        <v>894025.7943925237</v>
      </c>
      <c r="AB84" s="46">
        <f>SUM(B84:Y84)</f>
        <v>1604718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633088.5471887919</v>
      </c>
      <c r="C88" s="19">
        <f>SUM(C72:C82,C66,C60,C54,C48,C42,C36)</f>
        <v>614088.5471887919</v>
      </c>
      <c r="D88" s="19">
        <f>SUM(D72:D82,D66,D60,D54,D48,D42,D36)</f>
        <v>632088.5471887919</v>
      </c>
      <c r="E88" s="19">
        <f>SUM(E72:E82,E66,E60,E54,E48,E42,E36)</f>
        <v>614088.5471887919</v>
      </c>
      <c r="F88" s="19">
        <f>SUM(F72:F82,F66,F60,F54,F48,F42,F36)</f>
        <v>352858.0471887919</v>
      </c>
      <c r="G88" s="19">
        <f>SUM(G72:G82,G66,G60,G54,G48,G42,G36)</f>
        <v>171110.0471887919</v>
      </c>
      <c r="H88" s="19">
        <f>SUM(H72:H82,H66,H60,H54,H48,H42,H36)</f>
        <v>219697.5471887919</v>
      </c>
      <c r="I88" s="19">
        <f>SUM(I72:I82,I66,I60,I54,I48,I42,I36)</f>
        <v>208697.5471887919</v>
      </c>
      <c r="J88" s="19">
        <f>SUM(J72:J82,J66,J60,J54,J48,J42,J36)</f>
        <v>226697.5471887919</v>
      </c>
      <c r="K88" s="19">
        <f>SUM(K72:K82,K66,K60,K54,K48,K42,K36)</f>
        <v>208697.5471887919</v>
      </c>
      <c r="L88" s="19">
        <f>SUM(L72:L82,L66,L60,L54,L48,L42,L36)</f>
        <v>171110.0471887919</v>
      </c>
      <c r="M88" s="19">
        <f>SUM(M72:M82,M66,M60,M54,M48,M42,M36)</f>
        <v>171110.0471887919</v>
      </c>
      <c r="N88" s="19">
        <f>SUM(N72:N82,N66,N60,N54,N48,N42,N36)</f>
        <v>227697.5471887919</v>
      </c>
      <c r="O88" s="19">
        <f>SUM(O72:O82,O66,O60,O54,O48,O42,O36)</f>
        <v>208697.5471887919</v>
      </c>
      <c r="P88" s="19">
        <f>SUM(P72:P82,P66,P60,P54,P48,P42,P36)</f>
        <v>226697.5471887919</v>
      </c>
      <c r="Q88" s="19">
        <f>SUM(Q72:Q82,Q66,Q60,Q54,Q48,Q42,Q36)</f>
        <v>621381.1546654274</v>
      </c>
      <c r="R88" s="19">
        <f>SUM(R72:R82,R66,R60,R54,R48,R42,R36)</f>
        <v>96607.89765608162</v>
      </c>
      <c r="S88" s="19">
        <f>SUM(S72:S82,S66,S60,S54,S48,S42,S36)</f>
        <v>96607.89765608162</v>
      </c>
      <c r="T88" s="19">
        <f>SUM(T72:T82,T66,T60,T54,T48,T42,T36)</f>
        <v>145195.3976560816</v>
      </c>
      <c r="U88" s="19">
        <f>SUM(U72:U82,U66,U60,U54,U48,U42,U36)</f>
        <v>134195.3976560816</v>
      </c>
      <c r="V88" s="19">
        <f>SUM(V72:V82,V66,V60,V54,V48,V42,V36)</f>
        <v>152195.3976560816</v>
      </c>
      <c r="W88" s="19">
        <f>SUM(W72:W82,W66,W60,W54,W48,W42,W36)</f>
        <v>134195.3976560816</v>
      </c>
      <c r="X88" s="19">
        <f>SUM(X72:X82,X66,X60,X54,X48,X42,X36)</f>
        <v>96607.89765608162</v>
      </c>
      <c r="Y88" s="19">
        <f>SUM(Y72:Y82,Y66,Y60,Y54,Y48,Y42,Y36)</f>
        <v>96607.89765608162</v>
      </c>
      <c r="Z88" s="19">
        <f>SUMIF($B$13:$Y$13,"Yes",B88:Y88)</f>
        <v>4223332.566265503</v>
      </c>
      <c r="AA88" s="19">
        <f>SUM(B88:M88)</f>
        <v>4223332.566265503</v>
      </c>
      <c r="AB88" s="19">
        <f>SUM(B88:Y88)</f>
        <v>6460019.543745957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14800000</v>
      </c>
    </row>
    <row r="98" spans="1:30">
      <c r="A98" t="s">
        <v>64</v>
      </c>
      <c r="B98" s="36">
        <f>IF(Inputs!B44="Yes",Inputs!B45,0)</f>
        <v>6000000</v>
      </c>
    </row>
    <row r="99" spans="1:30">
      <c r="A99" t="s">
        <v>65</v>
      </c>
      <c r="B99" s="36">
        <f>Inputs!B46</f>
        <v>4000000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27150000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2775530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3775530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100000</v>
      </c>
    </row>
    <row r="31" spans="1:48">
      <c r="A31" s="5" t="s">
        <v>116</v>
      </c>
      <c r="B31" s="158">
        <v>40000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6000000</v>
      </c>
    </row>
    <row r="46" spans="1:48" customHeight="1" ht="30">
      <c r="A46" s="57" t="s">
        <v>130</v>
      </c>
      <c r="B46" s="161">
        <v>4000000</v>
      </c>
    </row>
    <row r="47" spans="1:48" customHeight="1" ht="30">
      <c r="A47" s="57" t="s">
        <v>131</v>
      </c>
      <c r="B47" s="161">
        <v>0</v>
      </c>
    </row>
    <row r="48" spans="1:48" customHeight="1" ht="30">
      <c r="A48" s="57" t="s">
        <v>132</v>
      </c>
      <c r="B48" s="161">
        <v>2000000</v>
      </c>
    </row>
    <row r="49" spans="1:48" customHeight="1" ht="30">
      <c r="A49" s="57" t="s">
        <v>133</v>
      </c>
      <c r="B49" s="161">
        <v>350000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2100000</v>
      </c>
      <c r="B56" s="159">
        <v>1610812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1500000</v>
      </c>
      <c r="B57" s="157">
        <v>1164718</v>
      </c>
      <c r="C57" s="164" t="s">
        <v>145</v>
      </c>
      <c r="D57" s="165" t="s">
        <v>146</v>
      </c>
      <c r="E57" s="165" t="s">
        <v>92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148</v>
      </c>
      <c r="C65" s="10" t="s">
        <v>149</v>
      </c>
    </row>
    <row r="66" spans="1:48">
      <c r="A66" s="142" t="s">
        <v>150</v>
      </c>
      <c r="B66" s="159">
        <v>924440</v>
      </c>
      <c r="C66" s="163">
        <v>683186</v>
      </c>
      <c r="D66" s="49">
        <f>INDEX(Parameters!$D$79:$D$90,MATCH(Inputs!A66,Parameters!$C$79:$C$90,0))</f>
        <v>12</v>
      </c>
    </row>
    <row r="67" spans="1:48">
      <c r="A67" s="143" t="s">
        <v>151</v>
      </c>
      <c r="B67" s="157">
        <v>1323980</v>
      </c>
      <c r="C67" s="165">
        <v>1255134</v>
      </c>
      <c r="D67" s="49">
        <f>INDEX(Parameters!$D$79:$D$90,MATCH(Inputs!A67,Parameters!$C$79:$C$90,0))</f>
        <v>11</v>
      </c>
    </row>
    <row r="68" spans="1:48">
      <c r="A68" s="143" t="s">
        <v>152</v>
      </c>
      <c r="B68" s="157">
        <v>467817</v>
      </c>
      <c r="C68" s="165">
        <v>943342</v>
      </c>
      <c r="D68" s="49">
        <f>INDEX(Parameters!$D$79:$D$90,MATCH(Inputs!A68,Parameters!$C$79:$C$90,0))</f>
        <v>10</v>
      </c>
    </row>
    <row r="69" spans="1:48">
      <c r="A69" s="143" t="s">
        <v>153</v>
      </c>
      <c r="B69" s="157">
        <v>999730</v>
      </c>
      <c r="C69" s="165">
        <v>876869</v>
      </c>
      <c r="D69" s="49">
        <f>INDEX(Parameters!$D$79:$D$90,MATCH(Inputs!A69,Parameters!$C$79:$C$90,0))</f>
        <v>9</v>
      </c>
    </row>
    <row r="70" spans="1:48">
      <c r="A70" s="143" t="s">
        <v>154</v>
      </c>
      <c r="B70" s="157">
        <v>1333590</v>
      </c>
      <c r="C70" s="165">
        <v>972464</v>
      </c>
      <c r="D70" s="49">
        <f>INDEX(Parameters!$D$79:$D$90,MATCH(Inputs!A70,Parameters!$C$79:$C$90,0))</f>
        <v>8</v>
      </c>
    </row>
    <row r="71" spans="1:48">
      <c r="A71" s="144" t="s">
        <v>155</v>
      </c>
      <c r="B71" s="158">
        <v>913935</v>
      </c>
      <c r="C71" s="167">
        <v>1066869</v>
      </c>
      <c r="D71" s="49">
        <f>INDEX(Parameters!$D$79:$D$90,MATCH(Inputs!A71,Parameters!$C$79:$C$90,0))</f>
        <v>7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20224.6154839466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1344936.929682449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133000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2100000</v>
      </c>
      <c r="B23" s="75">
        <f>SUM(C23:D23)</f>
        <v>405391</v>
      </c>
      <c r="C23" s="75">
        <f>IF(Inputs!B56&gt;0,(Inputs!A56-Inputs!B56)/(DATE(YEAR(Inputs!$B$76),MONTH(Inputs!$B$76),DAY(Inputs!$B$76))-DATE(YEAR(Inputs!C56),MONTH(Inputs!C56),DAY(Inputs!C56)))*30,0)</f>
        <v>366891</v>
      </c>
      <c r="D23" s="75">
        <f>IF(Inputs!B56&gt;0,Inputs!A56*0.22/12,0)</f>
        <v>38500</v>
      </c>
      <c r="E23" s="75">
        <f>IFERROR(ROUNDUP(Inputs!B56/C23,0),0)</f>
        <v>5</v>
      </c>
    </row>
    <row r="24" spans="1:52">
      <c r="A24" s="46">
        <f>Inputs!A57</f>
        <v>1500000</v>
      </c>
      <c r="B24" s="46">
        <f>SUM(C24:D24)</f>
        <v>74502.14953271029</v>
      </c>
      <c r="C24" s="46">
        <f>IF(Inputs!B57&gt;0,(Inputs!A57-Inputs!B57)/(DATE(YEAR(Inputs!$B$76),MONTH(Inputs!$B$76),DAY(Inputs!$B$76))-DATE(YEAR(Inputs!C57),MONTH(Inputs!C57),DAY(Inputs!C57)))*30,0)</f>
        <v>47002.14953271028</v>
      </c>
      <c r="D24" s="46">
        <f>IF(Inputs!B57&gt;0,Inputs!A57*0.22/12,0)</f>
        <v>27500</v>
      </c>
      <c r="E24" s="46">
        <f>IFERROR(ROUNDUP(Inputs!B57/B24,0),0)</f>
        <v>16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43119</v>
      </c>
      <c r="C33" s="27">
        <f>IF(B33&lt;&gt;"",IF(COUNT($A$33:A33)&lt;=$G$39,0,$G$41)+IF(COUNT($A$33:A33)&lt;=$G$40,0,$G$42),0)</f>
        <v>100000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43113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43150</v>
      </c>
      <c r="C34" s="27">
        <f>IF(B34&lt;&gt;"",IF(COUNT($A$33:A34)&lt;=$G$39,0,$G$41)+IF(COUNT($A$33:A34)&lt;=$G$40,0,$G$42),0)</f>
        <v>100000</v>
      </c>
      <c r="D34" s="170">
        <f>IFERROR(DATE(YEAR(B34),MONTH(B34),1)," ")</f>
        <v>43132</v>
      </c>
      <c r="F34" t="s">
        <v>162</v>
      </c>
      <c r="G34" s="128">
        <f>IF(Inputs!B80="","",DATE(YEAR(Inputs!B80),MONTH(Inputs!B80),DAY(Inputs!B80)))</f>
        <v>43119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43178</v>
      </c>
      <c r="C35" s="27">
        <f>IF(B35&lt;&gt;"",IF(COUNT($A$33:A35)&lt;=$G$39,0,$G$41)+IF(COUNT($A$33:A35)&lt;=$G$40,0,$G$42),0)</f>
        <v>100000</v>
      </c>
      <c r="D35" s="170">
        <f>IFERROR(DATE(YEAR(B35),MONTH(B35),1)," ")</f>
        <v>43160</v>
      </c>
      <c r="F35" t="s">
        <v>164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100000</v>
      </c>
      <c r="D36" s="170">
        <f>IFERROR(DATE(YEAR(B36),MONTH(B36),1)," ")</f>
        <v>43191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43239</v>
      </c>
      <c r="C37" s="27">
        <f>IF(B37&lt;&gt;"",IF(COUNT($A$33:A37)&lt;=$G$39,0,$G$41)+IF(COUNT($A$33:A37)&lt;=$G$40,0,$G$42),0)</f>
        <v>100000</v>
      </c>
      <c r="D37" s="170">
        <f>IFERROR(DATE(YEAR(B37),MONTH(B37),1)," ")</f>
        <v>43221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43270</v>
      </c>
      <c r="C38" s="27">
        <f>IF(B38&lt;&gt;"",IF(COUNT($A$33:A38)&lt;=$G$39,0,$G$41)+IF(COUNT($A$33:A38)&lt;=$G$40,0,$G$42),0)</f>
        <v>100000</v>
      </c>
      <c r="D38" s="170">
        <f>IFERROR(DATE(YEAR(B38),MONTH(B38),1)," ")</f>
        <v>43252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43300</v>
      </c>
      <c r="C39" s="27">
        <f>IF(B39&lt;&gt;"",IF(COUNT($A$33:A39)&lt;=$G$39,0,$G$41)+IF(COUNT($A$33:A39)&lt;=$G$40,0,$G$42),0)</f>
        <v>100000</v>
      </c>
      <c r="D39" s="170">
        <f>IFERROR(DATE(YEAR(B39),MONTH(B39),1)," ")</f>
        <v>43282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43331</v>
      </c>
      <c r="C40" s="27">
        <f>IF(B40&lt;&gt;"",IF(COUNT($A$33:A40)&lt;=$G$39,0,$G$41)+IF(COUNT($A$33:A40)&lt;=$G$40,0,$G$42),0)</f>
        <v>100000</v>
      </c>
      <c r="D40" s="170">
        <f>IFERROR(DATE(YEAR(B40),MONTH(B40),1)," ")</f>
        <v>43313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43362</v>
      </c>
      <c r="C41" s="27">
        <f>IF(B41&lt;&gt;"",IF(COUNT($A$33:A41)&lt;=$G$39,0,$G$41)+IF(COUNT($A$33:A41)&lt;=$G$40,0,$G$42),0)</f>
        <v>100000</v>
      </c>
      <c r="D41" s="170">
        <f>IFERROR(DATE(YEAR(B41),MONTH(B41),1)," ")</f>
        <v>43344</v>
      </c>
      <c r="F41" t="s">
        <v>228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43392</v>
      </c>
      <c r="C42" s="27">
        <f>IF(B42&lt;&gt;"",IF(COUNT($A$33:A42)&lt;=$G$39,0,$G$41)+IF(COUNT($A$33:A42)&lt;=$G$40,0,$G$42),0)</f>
        <v>100000</v>
      </c>
      <c r="D42" s="170">
        <f>IFERROR(DATE(YEAR(B42),MONTH(B42),1)," ")</f>
        <v>43374</v>
      </c>
      <c r="F42" t="s">
        <v>229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43423</v>
      </c>
      <c r="C43" s="27">
        <f>IF(B43&lt;&gt;"",IF(COUNT($A$33:A43)&lt;=$G$39,0,$G$41)+IF(COUNT($A$33:A43)&lt;=$G$40,0,$G$42),0)</f>
        <v>100000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43453</v>
      </c>
      <c r="C44" s="27">
        <f>IF(B44&lt;&gt;"",IF(COUNT($A$33:A44)&lt;=$G$39,0,$G$41)+IF(COUNT($A$33:A44)&lt;=$G$40,0,$G$42),0)</f>
        <v>100000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314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317</v>
      </c>
      <c r="I52" s="12" t="s">
        <v>127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357</v>
      </c>
      <c r="H78" s="12" t="s">
        <v>127</v>
      </c>
      <c r="I78" s="12" t="s">
        <v>358</v>
      </c>
      <c r="J78" s="70" t="s">
        <v>359</v>
      </c>
      <c r="K78" s="12" t="s">
        <v>314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314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