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<sst xmlns="http://schemas.openxmlformats.org/spreadsheetml/2006/main" uniqueCount="368">
  <si>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</si>
  <si>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</si>
  <si>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</si>
  <si>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</si>
  <si>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</si>
  <si>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</si>
  <si>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</si>
  <si>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</si>
  <si>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</si>
  <si>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</si>
  <si>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</si>
  <si>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</si>
  <si>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</si>
  <si>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</si>
  <si>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</si>
  <si>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</si>
  <si>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</si>
  <si>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</si>
  <si>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</si>
  <si>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</si>
  <si>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</si>
  <si>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</si>
  <si>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</si>
  <si>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</si>
  <si>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</si>
  <si>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</si>
  <si>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</si>
  <si>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</si>
  <si>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</si>
  <si>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</si>
  <si>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</si>
  <si>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</si>
  <si>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</si>
  <si>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</si>
  <si>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</si>
  <si>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</si>
  <si>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</si>
  <si>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</si>
  <si>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</si>
  <si>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</si>
  <si>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</si>
  <si>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</si>
  <si>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</si>
  <si>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</si>
  <si>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</si>
  <si>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</si>
  <si>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</si>
  <si>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</si>
  <si>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</si>
  <si>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</si>
  <si>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</si>
  <si>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</si>
  <si>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</si>
  <si>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</si>
  <si>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</si>
  <si>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</si>
  <si>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</si>
  <si>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</si>
  <si>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</si>
  <si>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</si>
  <si>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</si>
  <si>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</si>
  <si>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</si>
  <si>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</si>
  <si>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</si>
  <si>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</si>
  <si>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</si>
  <si>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</si>
  <si>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</si>
  <si>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</si>
  <si>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</si>
  <si>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</si>
  <si>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</si>
  <si>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</si>
  <si>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</si>
  <si>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</si>
  <si>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</si>
  <si>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</si>
  <si>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</si>
  <si>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</si>
  <si>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</si>
  <si>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</si>
  <si>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</si>
  <si>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</si>
  <si>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</si>
  <si>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</si>
  <si>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</si>
  <si>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</si>
  <si>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</si>
  <si>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</si>
  <si>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</si>
  <si>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</si>
  <si>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</si>
  <si>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</si>
  <si>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</si>
  <si>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</si>
  <si>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</si>
  <si>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</si>
  <si>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</si>
  <si>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</si>
  <si>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</si>
  <si>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</si>
  <si>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</si>
  <si>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</si>
  <si>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</si>
  <si>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</si>
  <si>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</si>
  <si>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</si>
  <si>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</si>
  <si>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</si>
  <si>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</si>
  <si>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</si>
  <si>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</si>
  <si>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</si>
  <si>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 income at kahawa Sukari Nairobi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</si>
  <si>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</si>
  <si>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</si>
  <si>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</si>
  <si>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</si>
  <si>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</si>
  <si>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</si>
  <si>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</si>
  <si>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</si>
  <si>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</si>
  <si>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</si>
  <si>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</si>
  <si>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</si>
  <si>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</si>
  <si>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</si>
  <si>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</si>
  <si>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</si>
  <si>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</si>
  <si>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</si>
  <si>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</si>
  <si>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</si>
  <si>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</si>
  <si>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</si>
  <si>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</si>
  <si>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</si>
  <si>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</si>
  <si>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</si>
  <si>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</si>
  <si>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6/5/2017</t>
  </si>
  <si>
    <t>Cooperative bank</t>
  </si>
  <si>
    <t>Timely paid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</si>
  <si>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</si>
  <si>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</si>
  <si>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</si>
  <si>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</si>
  <si>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</si>
  <si>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</si>
  <si>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</si>
  <si>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</si>
  <si>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</si>
  <si>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</si>
  <si>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</si>
  <si>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</si>
  <si>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2018/1/13</t>
  </si>
  <si>
    <t>Loan terms</t>
  </si>
  <si>
    <t>Expected disbursement date</t>
  </si>
  <si>
    <t>Expected first repayment date</t>
  </si>
  <si>
    <t>2018/2/13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</si>
  <si>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</si>
  <si>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</si>
  <si>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</si>
  <si>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</si>
  <si>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</si>
  <si>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</si>
  <si>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</si>
  <si>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</si>
  <si>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</si>
  <si>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</si>
  <si>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</si>
  <si>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</si>
  <si>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</si>
  <si>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</si>
  <si>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</si>
  <si>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</si>
  <si>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</si>
  <si>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</si>
  <si>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</si>
  <si>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</si>
  <si>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</si>
  <si>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</si>
  <si>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</si>
  <si>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</si>
  <si>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</si>
  <si>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</si>
  <si>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</si>
  <si>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</si>
  <si>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</si>
  <si>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</si>
  <si>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</si>
  <si>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</si>
  <si>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</si>
  <si>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</si>
  <si>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</si>
  <si>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</si>
  <si>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</si>
  <si>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</si>
  <si>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</si>
  <si>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</si>
  <si>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</si>
  <si>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</si>
  <si>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</si>
  <si>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</si>
  <si>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</si>
  <si>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</si>
  <si>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</si>
  <si>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</si>
  <si>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</si>
  <si>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</si>
  <si>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</si>
  <si>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</si>
  <si>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</si>
  <si>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</si>
  <si>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</si>
  <si>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</si>
  <si>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</si>
  <si>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</si>
  <si>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</si>
  <si>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</si>
  <si>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</si>
  <si>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</si>
  <si>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</si>
  <si>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</si>
  <si>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</si>
  <si>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</si>
  <si>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</si>
  <si>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</si>
  <si>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</si>
  <si>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</si>
  <si>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</si>
  <si>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</si>
  <si>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</si>
  <si>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</si>
  <si>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</si>
  <si>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</si>
  <si>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</si>
  <si>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</si>
  <si>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</si>
  <si>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</si>
  <si>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</si>
  <si>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</si>
  <si>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</si>
  <si>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</si>
  <si>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</si>
  <si>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</si>
  <si>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</si>
  <si>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</si>
  <si>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</si>
  <si>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</si>
  <si>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</si>
  <si>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</si>
  <si>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</si>
  <si>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</si>
  <si>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</si>
  <si>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</si>
  <si>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</si>
  <si>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</si>
  <si>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</si>
  <si>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</si>
  <si>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</si>
  <si>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</si>
  <si>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</si>
  <si>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</si>
  <si>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</si>
  <si>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</si>
  <si>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</si>
  <si>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</si>
  <si>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</si>
  <si>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</si>
  <si>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</si>
  <si>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</si>
  <si>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</si>
  <si>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</si>
  <si>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</si>
  <si>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</si>
  <si>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</si>
  <si>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</si>
  <si>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</si>
  <si>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</si>
  <si>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</si>
  <si>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</si>
  <si>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</si>
  <si>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</si>
  <si>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</si>
  <si>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</si>
  <si>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</si>
  <si>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</si>
  <si>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</si>
  <si>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</si>
  <si>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</si>
  <si>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</si>
  <si>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</si>
  <si>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</si>
  <si>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</si>
  <si>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</si>
  <si>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</si>
  <si>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</si>
  <si>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</si>
  <si>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</si>
  <si>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</si>
  <si>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</si>
  <si>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</si>
  <si>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</si>
  <si>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</si>
  <si>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</si>
  <si>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</si>
  <si>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</si>
  <si>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</si>
  <si>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</si>
  <si>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</si>
  <si>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</si>
  <si>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</si>
  <si>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</si>
  <si>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</si>
  <si>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</si>
  <si>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</si>
  <si>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</si>
  <si>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</si>
  <si>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</si>
  <si>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</si>
  <si>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</si>
  <si>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</si>
  <si>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</si>
  <si>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</si>
  <si>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</si>
  <si>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</si>
  <si>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</si>
  <si>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</si>
  <si>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</si>
  <si>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</si>
  <si>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</si>
  <si>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</si>
  <si>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</si>
  <si>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</si>
  <si>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</si>
  <si>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</si>
  <si>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</si>
  <si>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</si>
  <si>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</si>
  <si>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</si>
  <si>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</si>
  <si>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</si>
  <si>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</si>
  <si>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</si>
  <si>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</si>
  <si>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</si>
  <si>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</si>
  <si>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</si>
  <si>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</si>
  <si>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</si>
  <si>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</si>
  <si>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</si>
  <si>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</si>
  <si>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</si>
  <si>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</si>
  <si>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</si>
  <si>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</si>
  <si>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</si>
  <si>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</si>
  <si>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</si>
  <si>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without the use of a pump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</si>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</sst>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rentals income at kahawa Sukari Nairobi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0.1138472497896329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0.07702702702702703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867694.3759398495</v>
      </c>
    </row>
    <row r="18" spans="1:7">
      <c r="B18" s="1" t="s">
        <v>12</v>
      </c>
      <c r="C18" s="36">
        <f>MIN(Output!B6:M6)</f>
        <v>58373.34085213032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86349.53132832079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60373.34085213032</v>
      </c>
      <c r="C6" s="51">
        <f>C30-C88</f>
        <v>60373.34085213032</v>
      </c>
      <c r="D6" s="51">
        <f>D30-D88</f>
        <v>58373.34085213032</v>
      </c>
      <c r="E6" s="51">
        <f>E30-E88</f>
        <v>60373.34085213032</v>
      </c>
      <c r="F6" s="51">
        <f>F30-F88</f>
        <v>60373.34085213032</v>
      </c>
      <c r="G6" s="51">
        <f>G30-G88</f>
        <v>60373.34085213032</v>
      </c>
      <c r="H6" s="51">
        <f>H30-H88</f>
        <v>75706.67418546366</v>
      </c>
      <c r="I6" s="51">
        <f>I30-I88</f>
        <v>86349.53132832079</v>
      </c>
      <c r="J6" s="51">
        <f>J30-J88</f>
        <v>86349.53132832079</v>
      </c>
      <c r="K6" s="51">
        <f>K30-K88</f>
        <v>86349.53132832079</v>
      </c>
      <c r="L6" s="51">
        <f>L30-L88</f>
        <v>86349.53132832079</v>
      </c>
      <c r="M6" s="51">
        <f>M30-M88</f>
        <v>86349.53132832079</v>
      </c>
      <c r="N6" s="51">
        <f>N30-N88</f>
        <v>86349.53132832079</v>
      </c>
      <c r="O6" s="51">
        <f>O30-O88</f>
        <v>86349.53132832079</v>
      </c>
      <c r="P6" s="51">
        <f>P30-P88</f>
        <v>84349.53132832079</v>
      </c>
      <c r="Q6" s="51">
        <f>Q30-Q88</f>
        <v>86349.53132832079</v>
      </c>
      <c r="R6" s="51">
        <f>R30-R88</f>
        <v>86349.53132832079</v>
      </c>
      <c r="S6" s="51">
        <f>S30-S88</f>
        <v>138849.5313283208</v>
      </c>
      <c r="T6" s="51">
        <f>T30-T88</f>
        <v>86349.53132832079</v>
      </c>
      <c r="U6" s="51">
        <f>U30-U88</f>
        <v>86349.53132832079</v>
      </c>
      <c r="V6" s="51">
        <f>V30-V88</f>
        <v>86349.53132832079</v>
      </c>
      <c r="W6" s="51">
        <f>W30-W88</f>
        <v>86349.53132832079</v>
      </c>
      <c r="X6" s="51">
        <f>X30-X88</f>
        <v>86349.53132832079</v>
      </c>
      <c r="Y6" s="51">
        <f>Y30-Y88</f>
        <v>86349.53132832079</v>
      </c>
      <c r="Z6" s="51">
        <f>SUMIF($B$13:$Y$13,"Yes",B6:Y6)</f>
        <v>954043.9072681703</v>
      </c>
      <c r="AA6" s="51">
        <f>AA30-AA88</f>
        <v>867694.3759398493</v>
      </c>
      <c r="AB6" s="51">
        <f>AB30-AB88</f>
        <v>1954388.7518797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1947</v>
      </c>
      <c r="H7" s="80">
        <f>IF(ISERROR(VLOOKUP(MONTH(H5),Inputs!$D$66:$D$71,1,0)),"",INDEX(Inputs!$B$66:$B$71,MATCH(MONTH(Output!H5),Inputs!$D$66:$D$71,0))-INDEX(Inputs!$C$66:$C$71,MATCH(MONTH(Output!H5),Inputs!$D$66:$D$71,0)))</f>
        <v>-58</v>
      </c>
      <c r="I7" s="80">
        <f>IF(ISERROR(VLOOKUP(MONTH(I5),Inputs!$D$66:$D$71,1,0)),"",INDEX(Inputs!$B$66:$B$71,MATCH(MONTH(Output!I5),Inputs!$D$66:$D$71,0))-INDEX(Inputs!$C$66:$C$71,MATCH(MONTH(Output!I5),Inputs!$D$66:$D$71,0)))</f>
        <v>2786</v>
      </c>
      <c r="J7" s="80">
        <f>IF(ISERROR(VLOOKUP(MONTH(J5),Inputs!$D$66:$D$71,1,0)),"",INDEX(Inputs!$B$66:$B$71,MATCH(MONTH(Output!J5),Inputs!$D$66:$D$71,0))-INDEX(Inputs!$C$66:$C$71,MATCH(MONTH(Output!J5),Inputs!$D$66:$D$71,0)))</f>
        <v>-665</v>
      </c>
      <c r="K7" s="80">
        <f>IF(ISERROR(VLOOKUP(MONTH(K5),Inputs!$D$66:$D$71,1,0)),"",INDEX(Inputs!$B$66:$B$71,MATCH(MONTH(Output!K5),Inputs!$D$66:$D$71,0))-INDEX(Inputs!$C$66:$C$71,MATCH(MONTH(Output!K5),Inputs!$D$66:$D$71,0)))</f>
        <v>-811</v>
      </c>
      <c r="L7" s="80">
        <f>IF(ISERROR(VLOOKUP(MONTH(L5),Inputs!$D$66:$D$71,1,0)),"",INDEX(Inputs!$B$66:$B$71,MATCH(MONTH(Output!L5),Inputs!$D$66:$D$71,0))-INDEX(Inputs!$C$66:$C$71,MATCH(MONTH(Output!L5),Inputs!$D$66:$D$71,0)))</f>
        <v>608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1947</v>
      </c>
      <c r="T7" s="80">
        <f>IF(ISERROR(VLOOKUP(MONTH(T5),Inputs!$D$66:$D$71,1,0)),"",INDEX(Inputs!$B$66:$B$71,MATCH(MONTH(Output!T5),Inputs!$D$66:$D$71,0))-INDEX(Inputs!$C$66:$C$71,MATCH(MONTH(Output!T5),Inputs!$D$66:$D$71,0)))</f>
        <v>-58</v>
      </c>
      <c r="U7" s="80">
        <f>IF(ISERROR(VLOOKUP(MONTH(U5),Inputs!$D$66:$D$71,1,0)),"",INDEX(Inputs!$B$66:$B$71,MATCH(MONTH(Output!U5),Inputs!$D$66:$D$71,0))-INDEX(Inputs!$C$66:$C$71,MATCH(MONTH(Output!U5),Inputs!$D$66:$D$71,0)))</f>
        <v>2786</v>
      </c>
      <c r="V7" s="80">
        <f>IF(ISERROR(VLOOKUP(MONTH(V5),Inputs!$D$66:$D$71,1,0)),"",INDEX(Inputs!$B$66:$B$71,MATCH(MONTH(Output!V5),Inputs!$D$66:$D$71,0))-INDEX(Inputs!$C$66:$C$71,MATCH(MONTH(Output!V5),Inputs!$D$66:$D$71,0)))</f>
        <v>-665</v>
      </c>
      <c r="W7" s="80">
        <f>IF(ISERROR(VLOOKUP(MONTH(W5),Inputs!$D$66:$D$71,1,0)),"",INDEX(Inputs!$B$66:$B$71,MATCH(MONTH(Output!W5),Inputs!$D$66:$D$71,0))-INDEX(Inputs!$C$66:$C$71,MATCH(MONTH(Output!W5),Inputs!$D$66:$D$71,0)))</f>
        <v>-811</v>
      </c>
      <c r="X7" s="80">
        <f>IF(ISERROR(VLOOKUP(MONTH(X5),Inputs!$D$66:$D$71,1,0)),"",INDEX(Inputs!$B$66:$B$71,MATCH(MONTH(Output!X5),Inputs!$D$66:$D$71,0))-INDEX(Inputs!$C$66:$C$71,MATCH(MONTH(Output!X5),Inputs!$D$66:$D$71,0)))</f>
        <v>608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160373.3408521303</v>
      </c>
      <c r="C11" s="80">
        <f>C6+C9-C10</f>
        <v>50373.34085213032</v>
      </c>
      <c r="D11" s="80">
        <f>D6+D9-D10</f>
        <v>48373.34085213032</v>
      </c>
      <c r="E11" s="80">
        <f>E6+E9-E10</f>
        <v>50373.34085213032</v>
      </c>
      <c r="F11" s="80">
        <f>F6+F9-F10</f>
        <v>50373.34085213032</v>
      </c>
      <c r="G11" s="80">
        <f>G6+G9-G10</f>
        <v>50373.34085213032</v>
      </c>
      <c r="H11" s="80">
        <f>H6+H9-H10</f>
        <v>65706.67418546366</v>
      </c>
      <c r="I11" s="80">
        <f>I6+I9-I10</f>
        <v>76349.53132832079</v>
      </c>
      <c r="J11" s="80">
        <f>J6+J9-J10</f>
        <v>76349.53132832079</v>
      </c>
      <c r="K11" s="80">
        <f>K6+K9-K10</f>
        <v>76349.53132832079</v>
      </c>
      <c r="L11" s="80">
        <f>L6+L9-L10</f>
        <v>76349.53132832079</v>
      </c>
      <c r="M11" s="80">
        <f>M6+M9-M10</f>
        <v>76349.53132832079</v>
      </c>
      <c r="N11" s="80">
        <f>N6+N9-N10</f>
        <v>76349.53132832079</v>
      </c>
      <c r="O11" s="80">
        <f>O6+O9-O10</f>
        <v>86349.53132832079</v>
      </c>
      <c r="P11" s="80">
        <f>P6+P9-P10</f>
        <v>84349.53132832079</v>
      </c>
      <c r="Q11" s="80">
        <f>Q6+Q9-Q10</f>
        <v>86349.53132832079</v>
      </c>
      <c r="R11" s="80">
        <f>R6+R9-R10</f>
        <v>86349.53132832079</v>
      </c>
      <c r="S11" s="80">
        <f>S6+S9-S10</f>
        <v>138849.5313283208</v>
      </c>
      <c r="T11" s="80">
        <f>T6+T9-T10</f>
        <v>86349.53132832079</v>
      </c>
      <c r="U11" s="80">
        <f>U6+U9-U10</f>
        <v>86349.53132832079</v>
      </c>
      <c r="V11" s="80">
        <f>V6+V9-V10</f>
        <v>86349.53132832079</v>
      </c>
      <c r="W11" s="80">
        <f>W6+W9-W10</f>
        <v>86349.53132832079</v>
      </c>
      <c r="X11" s="80">
        <f>X6+X9-X10</f>
        <v>86349.53132832079</v>
      </c>
      <c r="Y11" s="80">
        <f>Y6+Y9-Y10</f>
        <v>86349.53132832079</v>
      </c>
      <c r="Z11" s="85">
        <f>SUMIF($B$13:$Y$13,"Yes",B11:Y11)</f>
        <v>934043.90726817</v>
      </c>
      <c r="AA11" s="80">
        <f>SUM(B11:M11)</f>
        <v>857694.3759398493</v>
      </c>
      <c r="AB11" s="46">
        <f>SUM(B11:Y11)</f>
        <v>1934388.751879698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0.04530079420807434</v>
      </c>
      <c r="D12" s="82">
        <f>IF(D13="Yes",IF(SUM($B$10:D10)/(SUM($B$6:D6)+SUM($B$9:D9))&lt;0,999.99,SUM($B$10:D10)/(SUM($B$6:D6)+SUM($B$9:D9))),"")</f>
        <v>0.07165376319772751</v>
      </c>
      <c r="E12" s="82">
        <f>IF(E13="Yes",IF(SUM($B$10:E10)/(SUM($B$6:E6)+SUM($B$9:E9))&lt;0,999.99,SUM($B$10:E10)/(SUM($B$6:E6)+SUM($B$9:E9))),"")</f>
        <v>0.08836697041379336</v>
      </c>
      <c r="F12" s="82">
        <f>IF(F13="Yes",IF(SUM($B$10:F10)/(SUM($B$6:F6)+SUM($B$9:F9))&lt;0,999.99,SUM($B$10:F10)/(SUM($B$6:F6)+SUM($B$9:F9))),"")</f>
        <v>0.1000333350433852</v>
      </c>
      <c r="G12" s="82">
        <f>IF(G13="Yes",IF(SUM($B$10:G10)/(SUM($B$6:G6)+SUM($B$9:G9))&lt;0,999.99,SUM($B$10:G10)/(SUM($B$6:G6)+SUM($B$9:G9))),"")</f>
        <v>0.1086389603228626</v>
      </c>
      <c r="H12" s="82">
        <f>IF(H13="Yes",IF(SUM($B$10:H10)/(SUM($B$6:H6)+SUM($B$9:H9))&lt;0,999.99,SUM($B$10:H10)/(SUM($B$6:H6)+SUM($B$9:H9))),"")</f>
        <v>0.1119514269600575</v>
      </c>
      <c r="I12" s="82">
        <f>IF(I13="Yes",IF(SUM($B$10:I10)/(SUM($B$6:I6)+SUM($B$9:I9))&lt;0,999.99,SUM($B$10:I10)/(SUM($B$6:I6)+SUM($B$9:I9))),"")</f>
        <v>0.1124866169923403</v>
      </c>
      <c r="J12" s="82">
        <f>IF(J13="Yes",IF(SUM($B$10:J10)/(SUM($B$6:J6)+SUM($B$9:J9))&lt;0,999.99,SUM($B$10:J10)/(SUM($B$6:J6)+SUM($B$9:J9))),"")</f>
        <v>0.112891379638654</v>
      </c>
      <c r="K12" s="82">
        <f>IF(K13="Yes",IF(SUM($B$10:K10)/(SUM($B$6:K6)+SUM($B$9:K9))&lt;0,999.99,SUM($B$10:K10)/(SUM($B$6:K6)+SUM($B$9:K9))),"")</f>
        <v>0.1132082145595474</v>
      </c>
      <c r="L12" s="82">
        <f>IF(L13="Yes",IF(SUM($B$10:L10)/(SUM($B$6:L6)+SUM($B$9:L9))&lt;0,999.99,SUM($B$10:L10)/(SUM($B$6:L6)+SUM($B$9:L9))),"")</f>
        <v>0.1134629658429296</v>
      </c>
      <c r="M12" s="82">
        <f>IF(M13="Yes",IF(SUM($B$10:M10)/(SUM($B$6:M6)+SUM($B$9:M9))&lt;0,999.99,SUM($B$10:M10)/(SUM($B$6:M6)+SUM($B$9:M9))),"")</f>
        <v>0.1136722530738749</v>
      </c>
      <c r="N12" s="82">
        <f>IF(N13="Yes",IF(SUM($B$10:N10)/(SUM($B$6:N6)+SUM($B$9:N9))&lt;0,999.99,SUM($B$10:N10)/(SUM($B$6:N6)+SUM($B$9:N9))),"")</f>
        <v>0.1138472497896329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19118.75</v>
      </c>
      <c r="C18" s="36">
        <f>O18</f>
        <v>19118.75</v>
      </c>
      <c r="D18" s="36">
        <f>P18</f>
        <v>19118.75</v>
      </c>
      <c r="E18" s="36">
        <f>Q18</f>
        <v>19118.75</v>
      </c>
      <c r="F18" s="36">
        <f>R18</f>
        <v>19118.75</v>
      </c>
      <c r="G18" s="36">
        <f>S18</f>
        <v>19118.75</v>
      </c>
      <c r="H18" s="36">
        <f>T18</f>
        <v>19118.75</v>
      </c>
      <c r="I18" s="36">
        <f>U18</f>
        <v>19118.75</v>
      </c>
      <c r="J18" s="36">
        <f>V18</f>
        <v>19118.75</v>
      </c>
      <c r="K18" s="36">
        <f>W18</f>
        <v>19118.75</v>
      </c>
      <c r="L18" s="36">
        <f>X18</f>
        <v>19118.75</v>
      </c>
      <c r="M18" s="36">
        <f>Y18</f>
        <v>19118.75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19118.75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19118.75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19118.75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19118.75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19118.75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19118.75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19118.75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19118.75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19118.75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19118.75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19118.75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19118.75</v>
      </c>
      <c r="Z18" s="36">
        <f>SUMIF($B$13:$Y$13,"Yes",B18:Y18)</f>
        <v>248543.75</v>
      </c>
      <c r="AA18" s="36">
        <f>SUM(B18:M18)</f>
        <v>229425</v>
      </c>
      <c r="AB18" s="36">
        <f>SUM(B18:Y18)</f>
        <v>458850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41165.41353383457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36499.99999999999</v>
      </c>
      <c r="C24" s="36">
        <f>IFERROR(Calculations!$P14/12,"")</f>
        <v>36499.99999999999</v>
      </c>
      <c r="D24" s="36">
        <f>IFERROR(Calculations!$P14/12,"")</f>
        <v>36499.99999999999</v>
      </c>
      <c r="E24" s="36">
        <f>IFERROR(Calculations!$P14/12,"")</f>
        <v>36499.99999999999</v>
      </c>
      <c r="F24" s="36">
        <f>IFERROR(Calculations!$P14/12,"")</f>
        <v>36499.99999999999</v>
      </c>
      <c r="G24" s="36">
        <f>IFERROR(Calculations!$P14/12,"")</f>
        <v>36499.99999999999</v>
      </c>
      <c r="H24" s="36">
        <f>IFERROR(Calculations!$P14/12,"")</f>
        <v>36499.99999999999</v>
      </c>
      <c r="I24" s="36">
        <f>IFERROR(Calculations!$P14/12,"")</f>
        <v>36499.99999999999</v>
      </c>
      <c r="J24" s="36">
        <f>IFERROR(Calculations!$P14/12,"")</f>
        <v>36499.99999999999</v>
      </c>
      <c r="K24" s="36">
        <f>IFERROR(Calculations!$P14/12,"")</f>
        <v>36499.99999999999</v>
      </c>
      <c r="L24" s="36">
        <f>IFERROR(Calculations!$P14/12,"")</f>
        <v>36499.99999999999</v>
      </c>
      <c r="M24" s="36">
        <f>IFERROR(Calculations!$P14/12,"")</f>
        <v>36499.99999999999</v>
      </c>
      <c r="N24" s="36">
        <f>IFERROR(Calculations!$P14/12,"")</f>
        <v>36499.99999999999</v>
      </c>
      <c r="O24" s="36">
        <f>IFERROR(Calculations!$P14/12,"")</f>
        <v>36499.99999999999</v>
      </c>
      <c r="P24" s="36">
        <f>IFERROR(Calculations!$P14/12,"")</f>
        <v>36499.99999999999</v>
      </c>
      <c r="Q24" s="36">
        <f>IFERROR(Calculations!$P14/12,"")</f>
        <v>36499.99999999999</v>
      </c>
      <c r="R24" s="36">
        <f>IFERROR(Calculations!$P14/12,"")</f>
        <v>36499.99999999999</v>
      </c>
      <c r="S24" s="36">
        <f>IFERROR(Calculations!$P14/12,"")</f>
        <v>36499.99999999999</v>
      </c>
      <c r="T24" s="36">
        <f>IFERROR(Calculations!$P14/12,"")</f>
        <v>36499.99999999999</v>
      </c>
      <c r="U24" s="36">
        <f>IFERROR(Calculations!$P14/12,"")</f>
        <v>36499.99999999999</v>
      </c>
      <c r="V24" s="36">
        <f>IFERROR(Calculations!$P14/12,"")</f>
        <v>36499.99999999999</v>
      </c>
      <c r="W24" s="36">
        <f>IFERROR(Calculations!$P14/12,"")</f>
        <v>36499.99999999999</v>
      </c>
      <c r="X24" s="36">
        <f>IFERROR(Calculations!$P14/12,"")</f>
        <v>36499.99999999999</v>
      </c>
      <c r="Y24" s="36">
        <f>IFERROR(Calculations!$P14/12,"")</f>
        <v>36499.99999999999</v>
      </c>
      <c r="Z24" s="36">
        <f>SUMIF($B$13:$Y$13,"Yes",B24:Y24)</f>
        <v>474499.9999999999</v>
      </c>
      <c r="AA24" s="36">
        <f>SUM(B24:M24)</f>
        <v>437999.9999999999</v>
      </c>
      <c r="AB24" s="46">
        <f>SUM(B24:Y24)</f>
        <v>875999.9999999999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52500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205618.75</v>
      </c>
      <c r="C30" s="19">
        <f>SUM(C18:C29)</f>
        <v>205618.75</v>
      </c>
      <c r="D30" s="19">
        <f>SUM(D18:D29)</f>
        <v>205618.75</v>
      </c>
      <c r="E30" s="19">
        <f>SUM(E18:E29)</f>
        <v>205618.75</v>
      </c>
      <c r="F30" s="19">
        <f>SUM(F18:F29)</f>
        <v>205618.75</v>
      </c>
      <c r="G30" s="19">
        <f>SUM(G18:G29)</f>
        <v>205618.75</v>
      </c>
      <c r="H30" s="19">
        <f>SUM(H18:H29)</f>
        <v>205618.75</v>
      </c>
      <c r="I30" s="19">
        <f>SUM(I18:I29)</f>
        <v>205618.75</v>
      </c>
      <c r="J30" s="19">
        <f>SUM(J18:J29)</f>
        <v>205618.75</v>
      </c>
      <c r="K30" s="19">
        <f>SUM(K18:K29)</f>
        <v>205618.75</v>
      </c>
      <c r="L30" s="19">
        <f>SUM(L18:L29)</f>
        <v>205618.75</v>
      </c>
      <c r="M30" s="19">
        <f>SUM(M18:M29)</f>
        <v>205618.75</v>
      </c>
      <c r="N30" s="19">
        <f>SUM(N18:N29)</f>
        <v>205618.75</v>
      </c>
      <c r="O30" s="19">
        <f>SUM(O18:O29)</f>
        <v>205618.75</v>
      </c>
      <c r="P30" s="19">
        <f>SUM(P18:P29)</f>
        <v>205618.75</v>
      </c>
      <c r="Q30" s="19">
        <f>SUM(Q18:Q29)</f>
        <v>205618.75</v>
      </c>
      <c r="R30" s="19">
        <f>SUM(R18:R29)</f>
        <v>205618.75</v>
      </c>
      <c r="S30" s="19">
        <f>SUM(S18:S29)</f>
        <v>258118.75</v>
      </c>
      <c r="T30" s="19">
        <f>SUM(T18:T29)</f>
        <v>205618.75</v>
      </c>
      <c r="U30" s="19">
        <f>SUM(U18:U29)</f>
        <v>205618.75</v>
      </c>
      <c r="V30" s="19">
        <f>SUM(V18:V29)</f>
        <v>205618.75</v>
      </c>
      <c r="W30" s="19">
        <f>SUM(W18:W29)</f>
        <v>205618.75</v>
      </c>
      <c r="X30" s="19">
        <f>SUM(X18:X29)</f>
        <v>205618.75</v>
      </c>
      <c r="Y30" s="19">
        <f>SUM(Y18:Y29)</f>
        <v>205618.75</v>
      </c>
      <c r="Z30" s="19">
        <f>SUMIF($B$13:$Y$13,"Yes",B30:Y30)</f>
        <v>2673043.75</v>
      </c>
      <c r="AA30" s="19">
        <f>SUM(B30:M30)</f>
        <v>2467425</v>
      </c>
      <c r="AB30" s="19">
        <f>SUM(B30:Y30)</f>
        <v>4987350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2166.666666666667</v>
      </c>
      <c r="AA36" s="36">
        <f>SUM(B36:M36)</f>
        <v>2000</v>
      </c>
      <c r="AB36" s="36">
        <f>SUM(B36:Y36)</f>
        <v>3999.999999999999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583.3333333333334</v>
      </c>
      <c r="C60" s="36">
        <f>O60</f>
        <v>583.3333333333334</v>
      </c>
      <c r="D60" s="36">
        <f>P60</f>
        <v>583.3333333333334</v>
      </c>
      <c r="E60" s="36">
        <f>Q60</f>
        <v>583.3333333333334</v>
      </c>
      <c r="F60" s="36">
        <f>R60</f>
        <v>583.3333333333334</v>
      </c>
      <c r="G60" s="36">
        <f>S60</f>
        <v>583.3333333333334</v>
      </c>
      <c r="H60" s="36">
        <f>T60</f>
        <v>583.3333333333334</v>
      </c>
      <c r="I60" s="36">
        <f>U60</f>
        <v>583.3333333333334</v>
      </c>
      <c r="J60" s="36">
        <f>V60</f>
        <v>583.3333333333334</v>
      </c>
      <c r="K60" s="36">
        <f>W60</f>
        <v>583.3333333333334</v>
      </c>
      <c r="L60" s="36">
        <f>X60</f>
        <v>583.3333333333334</v>
      </c>
      <c r="M60" s="36">
        <f>Y60</f>
        <v>583.3333333333334</v>
      </c>
      <c r="N60" s="46">
        <f>SUM(N61:N65)</f>
        <v>583.3333333333334</v>
      </c>
      <c r="O60" s="46">
        <f>SUM(O61:O65)</f>
        <v>583.3333333333334</v>
      </c>
      <c r="P60" s="46">
        <f>SUM(P61:P65)</f>
        <v>583.3333333333334</v>
      </c>
      <c r="Q60" s="46">
        <f>SUM(Q61:Q65)</f>
        <v>583.3333333333334</v>
      </c>
      <c r="R60" s="46">
        <f>SUM(R61:R65)</f>
        <v>583.3333333333334</v>
      </c>
      <c r="S60" s="46">
        <f>SUM(S61:S65)</f>
        <v>583.3333333333334</v>
      </c>
      <c r="T60" s="46">
        <f>SUM(T61:T65)</f>
        <v>583.3333333333334</v>
      </c>
      <c r="U60" s="46">
        <f>SUM(U61:U65)</f>
        <v>583.3333333333334</v>
      </c>
      <c r="V60" s="46">
        <f>SUM(V61:V65)</f>
        <v>583.3333333333334</v>
      </c>
      <c r="W60" s="46">
        <f>SUM(W61:W65)</f>
        <v>583.3333333333334</v>
      </c>
      <c r="X60" s="46">
        <f>SUM(X61:X65)</f>
        <v>583.3333333333334</v>
      </c>
      <c r="Y60" s="46">
        <f>SUM(Y61:Y65)</f>
        <v>583.3333333333334</v>
      </c>
      <c r="Z60" s="46">
        <f>SUMIF($B$13:$Y$13,"Yes",B60:Y60)</f>
        <v>7583.333333333332</v>
      </c>
      <c r="AA60" s="46">
        <f>SUM(B60:M60)</f>
        <v>6999.999999999999</v>
      </c>
      <c r="AB60" s="46">
        <f>SUM(B60:Y60)</f>
        <v>14000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7583.333333333332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10.41666666666666</v>
      </c>
      <c r="C66" s="36">
        <f>O66</f>
        <v>10.41666666666666</v>
      </c>
      <c r="D66" s="36">
        <f>P66</f>
        <v>10.41666666666666</v>
      </c>
      <c r="E66" s="36">
        <f>Q66</f>
        <v>10.41666666666666</v>
      </c>
      <c r="F66" s="36">
        <f>R66</f>
        <v>10.41666666666666</v>
      </c>
      <c r="G66" s="36">
        <f>S66</f>
        <v>10.41666666666666</v>
      </c>
      <c r="H66" s="36">
        <f>T66</f>
        <v>10.41666666666666</v>
      </c>
      <c r="I66" s="36">
        <f>U66</f>
        <v>10.41666666666666</v>
      </c>
      <c r="J66" s="36">
        <f>V66</f>
        <v>10.41666666666666</v>
      </c>
      <c r="K66" s="36">
        <f>W66</f>
        <v>10.41666666666666</v>
      </c>
      <c r="L66" s="36">
        <f>X66</f>
        <v>10.41666666666666</v>
      </c>
      <c r="M66" s="36">
        <f>Y66</f>
        <v>10.41666666666666</v>
      </c>
      <c r="N66" s="46">
        <f>SUM(N67:N71)</f>
        <v>10.41666666666666</v>
      </c>
      <c r="O66" s="46">
        <f>SUM(O67:O71)</f>
        <v>10.41666666666666</v>
      </c>
      <c r="P66" s="46">
        <f>SUM(P67:P71)</f>
        <v>10.41666666666666</v>
      </c>
      <c r="Q66" s="46">
        <f>SUM(Q67:Q71)</f>
        <v>10.41666666666666</v>
      </c>
      <c r="R66" s="46">
        <f>SUM(R67:R71)</f>
        <v>10.41666666666666</v>
      </c>
      <c r="S66" s="46">
        <f>SUM(S67:S71)</f>
        <v>10.41666666666666</v>
      </c>
      <c r="T66" s="46">
        <f>SUM(T67:T71)</f>
        <v>10.41666666666666</v>
      </c>
      <c r="U66" s="46">
        <f>SUM(U67:U71)</f>
        <v>10.41666666666666</v>
      </c>
      <c r="V66" s="46">
        <f>SUM(V67:V71)</f>
        <v>10.41666666666666</v>
      </c>
      <c r="W66" s="46">
        <f>SUM(W67:W71)</f>
        <v>10.41666666666666</v>
      </c>
      <c r="X66" s="46">
        <f>SUM(X67:X71)</f>
        <v>10.41666666666666</v>
      </c>
      <c r="Y66" s="46">
        <f>SUM(Y67:Y71)</f>
        <v>10.41666666666666</v>
      </c>
      <c r="Z66" s="46">
        <f>SUMIF($B$13:$Y$13,"Yes",B66:Y66)</f>
        <v>135.4166666666666</v>
      </c>
      <c r="AA66" s="46">
        <f>SUM(B66:M66)</f>
        <v>124.9999999999999</v>
      </c>
      <c r="AB66" s="46">
        <f>SUM(B66:Y66)</f>
        <v>249.9999999999998</v>
      </c>
    </row>
    <row r="67" spans="1:30" hidden="true" outlineLevel="1">
      <c r="A67" s="181" t="str">
        <f>Calculations!$A$4</f>
        <v>Bananas</v>
      </c>
      <c r="B67" s="36">
        <f>N67</f>
        <v>10.41666666666666</v>
      </c>
      <c r="C67" s="36">
        <f>O67</f>
        <v>10.41666666666666</v>
      </c>
      <c r="D67" s="36">
        <f>P67</f>
        <v>10.41666666666666</v>
      </c>
      <c r="E67" s="36">
        <f>Q67</f>
        <v>10.41666666666666</v>
      </c>
      <c r="F67" s="36">
        <f>R67</f>
        <v>10.41666666666666</v>
      </c>
      <c r="G67" s="36">
        <f>S67</f>
        <v>10.41666666666666</v>
      </c>
      <c r="H67" s="36">
        <f>T67</f>
        <v>10.41666666666666</v>
      </c>
      <c r="I67" s="36">
        <f>U67</f>
        <v>10.41666666666666</v>
      </c>
      <c r="J67" s="36">
        <f>V67</f>
        <v>10.41666666666666</v>
      </c>
      <c r="K67" s="36">
        <f>W67</f>
        <v>10.41666666666666</v>
      </c>
      <c r="L67" s="36">
        <f>X67</f>
        <v>10.41666666666666</v>
      </c>
      <c r="M67" s="36">
        <f>Y67</f>
        <v>10.41666666666666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10.41666666666666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10.41666666666666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10.41666666666666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10.41666666666666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10.41666666666666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10.41666666666666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10.41666666666666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10.41666666666666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10.41666666666666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10.41666666666666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10.41666666666666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10.41666666666666</v>
      </c>
      <c r="Z67" s="46">
        <f>SUMIF($B$13:$Y$13,"Yes",B67:Y67)</f>
        <v>135.4166666666666</v>
      </c>
      <c r="AA67" s="46">
        <f>SUM(B67:M67)</f>
        <v>124.9999999999999</v>
      </c>
      <c r="AB67" s="46">
        <f>SUM(B67:Y67)</f>
        <v>249.9999999999998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213.3333333333333</v>
      </c>
      <c r="C75" s="46">
        <f>SUM(Calculations!$R$14:$R$16)/12</f>
        <v>213.3333333333333</v>
      </c>
      <c r="D75" s="46">
        <f>SUM(Calculations!$R$14:$R$16)/12</f>
        <v>213.3333333333333</v>
      </c>
      <c r="E75" s="46">
        <f>SUM(Calculations!$R$14:$R$16)/12</f>
        <v>213.3333333333333</v>
      </c>
      <c r="F75" s="46">
        <f>SUM(Calculations!$R$14:$R$16)/12</f>
        <v>213.3333333333333</v>
      </c>
      <c r="G75" s="46">
        <f>SUM(Calculations!$R$14:$R$16)/12</f>
        <v>213.3333333333333</v>
      </c>
      <c r="H75" s="46">
        <f>SUM(Calculations!$R$14:$R$16)/12</f>
        <v>213.3333333333333</v>
      </c>
      <c r="I75" s="46">
        <f>SUM(Calculations!$R$14:$R$16)/12</f>
        <v>213.3333333333333</v>
      </c>
      <c r="J75" s="46">
        <f>SUM(Calculations!$R$14:$R$16)/12</f>
        <v>213.3333333333333</v>
      </c>
      <c r="K75" s="46">
        <f>SUM(Calculations!$R$14:$R$16)/12</f>
        <v>213.3333333333333</v>
      </c>
      <c r="L75" s="46">
        <f>SUM(Calculations!$R$14:$R$16)/12</f>
        <v>213.3333333333333</v>
      </c>
      <c r="M75" s="46">
        <f>SUM(Calculations!$R$14:$R$16)/12</f>
        <v>213.3333333333333</v>
      </c>
      <c r="N75" s="46">
        <f>SUM(Calculations!$R$14:$R$16)/12</f>
        <v>213.3333333333333</v>
      </c>
      <c r="O75" s="46">
        <f>SUM(Calculations!$R$14:$R$16)/12</f>
        <v>213.3333333333333</v>
      </c>
      <c r="P75" s="46">
        <f>SUM(Calculations!$R$14:$R$16)/12</f>
        <v>213.3333333333333</v>
      </c>
      <c r="Q75" s="46">
        <f>SUM(Calculations!$R$14:$R$16)/12</f>
        <v>213.3333333333333</v>
      </c>
      <c r="R75" s="46">
        <f>SUM(Calculations!$R$14:$R$16)/12</f>
        <v>213.3333333333333</v>
      </c>
      <c r="S75" s="46">
        <f>SUM(Calculations!$R$14:$R$16)/12</f>
        <v>213.3333333333333</v>
      </c>
      <c r="T75" s="46">
        <f>SUM(Calculations!$R$14:$R$16)/12</f>
        <v>213.3333333333333</v>
      </c>
      <c r="U75" s="46">
        <f>SUM(Calculations!$R$14:$R$16)/12</f>
        <v>213.3333333333333</v>
      </c>
      <c r="V75" s="46">
        <f>SUM(Calculations!$R$14:$R$16)/12</f>
        <v>213.3333333333333</v>
      </c>
      <c r="W75" s="46">
        <f>SUM(Calculations!$R$14:$R$16)/12</f>
        <v>213.3333333333333</v>
      </c>
      <c r="X75" s="46">
        <f>SUM(Calculations!$R$14:$R$16)/12</f>
        <v>213.3333333333333</v>
      </c>
      <c r="Y75" s="46">
        <f>SUM(Calculations!$R$14:$R$16)/12</f>
        <v>213.3333333333333</v>
      </c>
      <c r="Z75" s="46">
        <f>SUMIF($B$13:$Y$13,"Yes",B75:Y75)</f>
        <v>2773.333333333333</v>
      </c>
      <c r="AA75" s="46">
        <f>SUM(B75:M75)</f>
        <v>2560</v>
      </c>
      <c r="AB75" s="46">
        <f>SUM(B75:Y75)</f>
        <v>5120</v>
      </c>
    </row>
    <row r="76" spans="1:30">
      <c r="A76" s="16" t="s">
        <v>48</v>
      </c>
      <c r="B76" s="46">
        <f>SUM(Calculations!$S$14:$S$16)/12</f>
        <v>1715.225563909774</v>
      </c>
      <c r="C76" s="46">
        <f>SUM(Calculations!$S$14:$S$16)/12</f>
        <v>1715.225563909774</v>
      </c>
      <c r="D76" s="46">
        <f>SUM(Calculations!$S$14:$S$16)/12</f>
        <v>1715.225563909774</v>
      </c>
      <c r="E76" s="46">
        <f>SUM(Calculations!$S$14:$S$16)/12</f>
        <v>1715.225563909774</v>
      </c>
      <c r="F76" s="46">
        <f>SUM(Calculations!$S$14:$S$16)/12</f>
        <v>1715.225563909774</v>
      </c>
      <c r="G76" s="46">
        <f>SUM(Calculations!$S$14:$S$16)/12</f>
        <v>1715.225563909774</v>
      </c>
      <c r="H76" s="46">
        <f>SUM(Calculations!$S$14:$S$16)/12</f>
        <v>1715.225563909774</v>
      </c>
      <c r="I76" s="46">
        <f>SUM(Calculations!$S$14:$S$16)/12</f>
        <v>1715.225563909774</v>
      </c>
      <c r="J76" s="46">
        <f>SUM(Calculations!$S$14:$S$16)/12</f>
        <v>1715.225563909774</v>
      </c>
      <c r="K76" s="46">
        <f>SUM(Calculations!$S$14:$S$16)/12</f>
        <v>1715.225563909774</v>
      </c>
      <c r="L76" s="46">
        <f>SUM(Calculations!$S$14:$S$16)/12</f>
        <v>1715.225563909774</v>
      </c>
      <c r="M76" s="46">
        <f>SUM(Calculations!$S$14:$S$16)/12</f>
        <v>1715.225563909774</v>
      </c>
      <c r="N76" s="46">
        <f>SUM(Calculations!$S$14:$S$16)/12</f>
        <v>1715.225563909774</v>
      </c>
      <c r="O76" s="46">
        <f>SUM(Calculations!$S$14:$S$16)/12</f>
        <v>1715.225563909774</v>
      </c>
      <c r="P76" s="46">
        <f>SUM(Calculations!$S$14:$S$16)/12</f>
        <v>1715.225563909774</v>
      </c>
      <c r="Q76" s="46">
        <f>SUM(Calculations!$S$14:$S$16)/12</f>
        <v>1715.225563909774</v>
      </c>
      <c r="R76" s="46">
        <f>SUM(Calculations!$S$14:$S$16)/12</f>
        <v>1715.225563909774</v>
      </c>
      <c r="S76" s="46">
        <f>SUM(Calculations!$S$14:$S$16)/12</f>
        <v>1715.225563909774</v>
      </c>
      <c r="T76" s="46">
        <f>SUM(Calculations!$S$14:$S$16)/12</f>
        <v>1715.225563909774</v>
      </c>
      <c r="U76" s="46">
        <f>SUM(Calculations!$S$14:$S$16)/12</f>
        <v>1715.225563909774</v>
      </c>
      <c r="V76" s="46">
        <f>SUM(Calculations!$S$14:$S$16)/12</f>
        <v>1715.225563909774</v>
      </c>
      <c r="W76" s="46">
        <f>SUM(Calculations!$S$14:$S$16)/12</f>
        <v>1715.225563909774</v>
      </c>
      <c r="X76" s="46">
        <f>SUM(Calculations!$S$14:$S$16)/12</f>
        <v>1715.225563909774</v>
      </c>
      <c r="Y76" s="46">
        <f>SUM(Calculations!$S$14:$S$16)/12</f>
        <v>1715.225563909774</v>
      </c>
      <c r="Z76" s="46">
        <f>SUMIF($B$13:$Y$13,"Yes",B76:Y76)</f>
        <v>22297.93233082707</v>
      </c>
      <c r="AA76" s="46">
        <f>SUM(B76:M76)</f>
        <v>20582.70676691729</v>
      </c>
      <c r="AB76" s="46">
        <f>SUM(B76:Y76)</f>
        <v>41165.41353383457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57455.24310776943</v>
      </c>
      <c r="C81" s="46">
        <f>(SUM($AA$18:$AA$29)-SUM($AA$36,$AA$42,$AA$48,$AA$54,$AA$60,$AA$66,$AA$72:$AA$79))*Parameters!$B$37/12</f>
        <v>57455.24310776943</v>
      </c>
      <c r="D81" s="46">
        <f>(SUM($AA$18:$AA$29)-SUM($AA$36,$AA$42,$AA$48,$AA$54,$AA$60,$AA$66,$AA$72:$AA$79))*Parameters!$B$37/12</f>
        <v>57455.24310776943</v>
      </c>
      <c r="E81" s="46">
        <f>(SUM($AA$18:$AA$29)-SUM($AA$36,$AA$42,$AA$48,$AA$54,$AA$60,$AA$66,$AA$72:$AA$79))*Parameters!$B$37/12</f>
        <v>57455.24310776943</v>
      </c>
      <c r="F81" s="46">
        <f>(SUM($AA$18:$AA$29)-SUM($AA$36,$AA$42,$AA$48,$AA$54,$AA$60,$AA$66,$AA$72:$AA$79))*Parameters!$B$37/12</f>
        <v>57455.24310776943</v>
      </c>
      <c r="G81" s="46">
        <f>(SUM($AA$18:$AA$29)-SUM($AA$36,$AA$42,$AA$48,$AA$54,$AA$60,$AA$66,$AA$72:$AA$79))*Parameters!$B$37/12</f>
        <v>57455.24310776943</v>
      </c>
      <c r="H81" s="46">
        <f>(SUM($AA$18:$AA$29)-SUM($AA$36,$AA$42,$AA$48,$AA$54,$AA$60,$AA$66,$AA$72:$AA$79))*Parameters!$B$37/12</f>
        <v>57455.24310776943</v>
      </c>
      <c r="I81" s="46">
        <f>(SUM($AA$18:$AA$29)-SUM($AA$36,$AA$42,$AA$48,$AA$54,$AA$60,$AA$66,$AA$72:$AA$79))*Parameters!$B$37/12</f>
        <v>57455.24310776943</v>
      </c>
      <c r="J81" s="46">
        <f>(SUM($AA$18:$AA$29)-SUM($AA$36,$AA$42,$AA$48,$AA$54,$AA$60,$AA$66,$AA$72:$AA$79))*Parameters!$B$37/12</f>
        <v>57455.24310776943</v>
      </c>
      <c r="K81" s="46">
        <f>(SUM($AA$18:$AA$29)-SUM($AA$36,$AA$42,$AA$48,$AA$54,$AA$60,$AA$66,$AA$72:$AA$79))*Parameters!$B$37/12</f>
        <v>57455.24310776943</v>
      </c>
      <c r="L81" s="46">
        <f>(SUM($AA$18:$AA$29)-SUM($AA$36,$AA$42,$AA$48,$AA$54,$AA$60,$AA$66,$AA$72:$AA$79))*Parameters!$B$37/12</f>
        <v>57455.24310776943</v>
      </c>
      <c r="M81" s="46">
        <f>(SUM($AA$18:$AA$29)-SUM($AA$36,$AA$42,$AA$48,$AA$54,$AA$60,$AA$66,$AA$72:$AA$79))*Parameters!$B$37/12</f>
        <v>57455.24310776943</v>
      </c>
      <c r="N81" s="46">
        <f>(SUM($AA$18:$AA$29)-SUM($AA$36,$AA$42,$AA$48,$AA$54,$AA$60,$AA$66,$AA$72:$AA$79))*Parameters!$B$37/12</f>
        <v>57455.24310776943</v>
      </c>
      <c r="O81" s="46">
        <f>(SUM($AA$18:$AA$29)-SUM($AA$36,$AA$42,$AA$48,$AA$54,$AA$60,$AA$66,$AA$72:$AA$79))*Parameters!$B$37/12</f>
        <v>57455.24310776943</v>
      </c>
      <c r="P81" s="46">
        <f>(SUM($AA$18:$AA$29)-SUM($AA$36,$AA$42,$AA$48,$AA$54,$AA$60,$AA$66,$AA$72:$AA$79))*Parameters!$B$37/12</f>
        <v>57455.24310776943</v>
      </c>
      <c r="Q81" s="46">
        <f>(SUM($AA$18:$AA$29)-SUM($AA$36,$AA$42,$AA$48,$AA$54,$AA$60,$AA$66,$AA$72:$AA$79))*Parameters!$B$37/12</f>
        <v>57455.24310776943</v>
      </c>
      <c r="R81" s="46">
        <f>(SUM($AA$18:$AA$29)-SUM($AA$36,$AA$42,$AA$48,$AA$54,$AA$60,$AA$66,$AA$72:$AA$79))*Parameters!$B$37/12</f>
        <v>57455.24310776943</v>
      </c>
      <c r="S81" s="46">
        <f>(SUM($AA$18:$AA$29)-SUM($AA$36,$AA$42,$AA$48,$AA$54,$AA$60,$AA$66,$AA$72:$AA$79))*Parameters!$B$37/12</f>
        <v>57455.24310776943</v>
      </c>
      <c r="T81" s="46">
        <f>(SUM($AA$18:$AA$29)-SUM($AA$36,$AA$42,$AA$48,$AA$54,$AA$60,$AA$66,$AA$72:$AA$79))*Parameters!$B$37/12</f>
        <v>57455.24310776943</v>
      </c>
      <c r="U81" s="46">
        <f>(SUM($AA$18:$AA$29)-SUM($AA$36,$AA$42,$AA$48,$AA$54,$AA$60,$AA$66,$AA$72:$AA$79))*Parameters!$B$37/12</f>
        <v>57455.24310776943</v>
      </c>
      <c r="V81" s="46">
        <f>(SUM($AA$18:$AA$29)-SUM($AA$36,$AA$42,$AA$48,$AA$54,$AA$60,$AA$66,$AA$72:$AA$79))*Parameters!$B$37/12</f>
        <v>57455.24310776943</v>
      </c>
      <c r="W81" s="46">
        <f>(SUM($AA$18:$AA$29)-SUM($AA$36,$AA$42,$AA$48,$AA$54,$AA$60,$AA$66,$AA$72:$AA$79))*Parameters!$B$37/12</f>
        <v>57455.24310776943</v>
      </c>
      <c r="X81" s="46">
        <f>(SUM($AA$18:$AA$29)-SUM($AA$36,$AA$42,$AA$48,$AA$54,$AA$60,$AA$66,$AA$72:$AA$79))*Parameters!$B$37/12</f>
        <v>57455.24310776943</v>
      </c>
      <c r="Y81" s="46">
        <f>(SUM($AA$18:$AA$29)-SUM($AA$36,$AA$42,$AA$48,$AA$54,$AA$60,$AA$66,$AA$72:$AA$79))*Parameters!$B$37/12</f>
        <v>57455.24310776943</v>
      </c>
      <c r="Z81" s="46">
        <f>SUMIF($B$13:$Y$13,"Yes",B81:Y81)</f>
        <v>746918.1604010024</v>
      </c>
      <c r="AA81" s="46">
        <f>SUM(B81:M81)</f>
        <v>689462.917293233</v>
      </c>
      <c r="AB81" s="46">
        <f>SUM(B81:Y81)</f>
        <v>1378925.834586466</v>
      </c>
    </row>
    <row r="82" spans="1:30">
      <c r="A82" s="16" t="s">
        <v>52</v>
      </c>
      <c r="B82" s="46">
        <f>SUM(B83:B87)</f>
        <v>25976.19047619048</v>
      </c>
      <c r="C82" s="46">
        <f>SUM(C83:C87)</f>
        <v>25976.19047619048</v>
      </c>
      <c r="D82" s="46">
        <f>SUM(D83:D87)</f>
        <v>25976.19047619048</v>
      </c>
      <c r="E82" s="46">
        <f>SUM(E83:E87)</f>
        <v>25976.19047619048</v>
      </c>
      <c r="F82" s="46">
        <f>SUM(F83:F87)</f>
        <v>25976.19047619048</v>
      </c>
      <c r="G82" s="46">
        <f>SUM(G83:G87)</f>
        <v>25976.19047619048</v>
      </c>
      <c r="H82" s="46">
        <f>SUM(H83:H87)</f>
        <v>10642.85714285713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166500</v>
      </c>
      <c r="AA82" s="46">
        <f>SUM(B82:M82)</f>
        <v>166500</v>
      </c>
      <c r="AB82" s="46">
        <f>SUM(B82:Y82)</f>
        <v>166500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25976.19047619048</v>
      </c>
      <c r="C83" s="46">
        <f>IF(Calculations!$E23&gt;COUNT(Output!$B$35:C$35),Calculations!$B23,IF(Calculations!$E23=COUNT(Output!$B$35:C$35),Inputs!$B56-Calculations!$C23*(Calculations!$E23-1)+Calculations!$D23,0))</f>
        <v>25976.19047619048</v>
      </c>
      <c r="D83" s="46">
        <f>IF(Calculations!$E23&gt;COUNT(Output!$B$35:D$35),Calculations!$B23,IF(Calculations!$E23=COUNT(Output!$B$35:D$35),Inputs!$B56-Calculations!$C23*(Calculations!$E23-1)+Calculations!$D23,0))</f>
        <v>25976.19047619048</v>
      </c>
      <c r="E83" s="46">
        <f>IF(Calculations!$E23&gt;COUNT(Output!$B$35:E$35),Calculations!$B23,IF(Calculations!$E23=COUNT(Output!$B$35:E$35),Inputs!$B56-Calculations!$C23*(Calculations!$E23-1)+Calculations!$D23,0))</f>
        <v>25976.19047619048</v>
      </c>
      <c r="F83" s="46">
        <f>IF(Calculations!$E23&gt;COUNT(Output!$B$35:F$35),Calculations!$B23,IF(Calculations!$E23=COUNT(Output!$B$35:F$35),Inputs!$B56-Calculations!$C23*(Calculations!$E23-1)+Calculations!$D23,0))</f>
        <v>25976.19047619048</v>
      </c>
      <c r="G83" s="46">
        <f>IF(Calculations!$E23&gt;COUNT(Output!$B$35:G$35),Calculations!$B23,IF(Calculations!$E23=COUNT(Output!$B$35:G$35),Inputs!$B56-Calculations!$C23*(Calculations!$E23-1)+Calculations!$D23,0))</f>
        <v>25976.19047619048</v>
      </c>
      <c r="H83" s="46">
        <f>IF(Calculations!$E23&gt;COUNT(Output!$B$35:H$35),Calculations!$B23,IF(Calculations!$E23=COUNT(Output!$B$35:H$35),Inputs!$B56-Calculations!$C23*(Calculations!$E23-1)+Calculations!$D23,0))</f>
        <v>10642.85714285713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166500</v>
      </c>
      <c r="AA83" s="46">
        <f>SUM(B83:M83)</f>
        <v>166500</v>
      </c>
      <c r="AB83" s="46">
        <f>SUM(B83:Y83)</f>
        <v>166500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145245.4091478697</v>
      </c>
      <c r="C88" s="19">
        <f>SUM(C72:C82,C66,C60,C54,C48,C42,C36)</f>
        <v>145245.4091478697</v>
      </c>
      <c r="D88" s="19">
        <f>SUM(D72:D82,D66,D60,D54,D48,D42,D36)</f>
        <v>147245.4091478697</v>
      </c>
      <c r="E88" s="19">
        <f>SUM(E72:E82,E66,E60,E54,E48,E42,E36)</f>
        <v>145245.4091478697</v>
      </c>
      <c r="F88" s="19">
        <f>SUM(F72:F82,F66,F60,F54,F48,F42,F36)</f>
        <v>145245.4091478697</v>
      </c>
      <c r="G88" s="19">
        <f>SUM(G72:G82,G66,G60,G54,G48,G42,G36)</f>
        <v>145245.4091478697</v>
      </c>
      <c r="H88" s="19">
        <f>SUM(H72:H82,H66,H60,H54,H48,H42,H36)</f>
        <v>129912.0758145363</v>
      </c>
      <c r="I88" s="19">
        <f>SUM(I72:I82,I66,I60,I54,I48,I42,I36)</f>
        <v>119269.2186716792</v>
      </c>
      <c r="J88" s="19">
        <f>SUM(J72:J82,J66,J60,J54,J48,J42,J36)</f>
        <v>119269.2186716792</v>
      </c>
      <c r="K88" s="19">
        <f>SUM(K72:K82,K66,K60,K54,K48,K42,K36)</f>
        <v>119269.2186716792</v>
      </c>
      <c r="L88" s="19">
        <f>SUM(L72:L82,L66,L60,L54,L48,L42,L36)</f>
        <v>119269.2186716792</v>
      </c>
      <c r="M88" s="19">
        <f>SUM(M72:M82,M66,M60,M54,M48,M42,M36)</f>
        <v>119269.2186716792</v>
      </c>
      <c r="N88" s="19">
        <f>SUM(N72:N82,N66,N60,N54,N48,N42,N36)</f>
        <v>119269.2186716792</v>
      </c>
      <c r="O88" s="19">
        <f>SUM(O72:O82,O66,O60,O54,O48,O42,O36)</f>
        <v>119269.2186716792</v>
      </c>
      <c r="P88" s="19">
        <f>SUM(P72:P82,P66,P60,P54,P48,P42,P36)</f>
        <v>121269.2186716792</v>
      </c>
      <c r="Q88" s="19">
        <f>SUM(Q72:Q82,Q66,Q60,Q54,Q48,Q42,Q36)</f>
        <v>119269.2186716792</v>
      </c>
      <c r="R88" s="19">
        <f>SUM(R72:R82,R66,R60,R54,R48,R42,R36)</f>
        <v>119269.2186716792</v>
      </c>
      <c r="S88" s="19">
        <f>SUM(S72:S82,S66,S60,S54,S48,S42,S36)</f>
        <v>119269.2186716792</v>
      </c>
      <c r="T88" s="19">
        <f>SUM(T72:T82,T66,T60,T54,T48,T42,T36)</f>
        <v>119269.2186716792</v>
      </c>
      <c r="U88" s="19">
        <f>SUM(U72:U82,U66,U60,U54,U48,U42,U36)</f>
        <v>119269.2186716792</v>
      </c>
      <c r="V88" s="19">
        <f>SUM(V72:V82,V66,V60,V54,V48,V42,V36)</f>
        <v>119269.2186716792</v>
      </c>
      <c r="W88" s="19">
        <f>SUM(W72:W82,W66,W60,W54,W48,W42,W36)</f>
        <v>119269.2186716792</v>
      </c>
      <c r="X88" s="19">
        <f>SUM(X72:X82,X66,X60,X54,X48,X42,X36)</f>
        <v>119269.2186716792</v>
      </c>
      <c r="Y88" s="19">
        <f>SUM(Y72:Y82,Y66,Y60,Y54,Y48,Y42,Y36)</f>
        <v>119269.2186716792</v>
      </c>
      <c r="Z88" s="19">
        <f>SUMIF($B$13:$Y$13,"Yes",B88:Y88)</f>
        <v>1718999.84273183</v>
      </c>
      <c r="AA88" s="19">
        <f>SUM(B88:M88)</f>
        <v>1599730.624060151</v>
      </c>
      <c r="AB88" s="19">
        <f>SUM(B88:Y88)</f>
        <v>3032961.2481203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128000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228000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300</v>
      </c>
      <c r="D19" s="145">
        <v>300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0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90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50000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2000000</v>
      </c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500000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300000</v>
      </c>
      <c r="B56" s="159">
        <v>128000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206366</v>
      </c>
      <c r="C66" s="163">
        <v>204419</v>
      </c>
      <c r="D66" s="49">
        <f>INDEX(Parameters!$D$79:$D$90,MATCH(Inputs!A66,Parameters!$C$79:$C$90,0))</f>
        <v>6</v>
      </c>
    </row>
    <row r="67" spans="1:48">
      <c r="A67" s="143" t="s">
        <v>149</v>
      </c>
      <c r="B67" s="157">
        <v>179488</v>
      </c>
      <c r="C67" s="165">
        <v>179546</v>
      </c>
      <c r="D67" s="49">
        <f>INDEX(Parameters!$D$79:$D$90,MATCH(Inputs!A67,Parameters!$C$79:$C$90,0))</f>
        <v>7</v>
      </c>
    </row>
    <row r="68" spans="1:48">
      <c r="A68" s="143" t="s">
        <v>150</v>
      </c>
      <c r="B68" s="157">
        <v>285441</v>
      </c>
      <c r="C68" s="165">
        <v>282655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421477</v>
      </c>
      <c r="C69" s="165">
        <v>422142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277152</v>
      </c>
      <c r="C70" s="165">
        <v>277963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522294</v>
      </c>
      <c r="C71" s="167">
        <v>521686</v>
      </c>
      <c r="D71" s="49">
        <f>INDEX(Parameters!$D$79:$D$90,MATCH(Inputs!A71,Parameters!$C$79:$C$90,0))</f>
        <v>11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11500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229425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</v>
      </c>
      <c r="E14" s="16">
        <f>Inputs!D19</f>
        <v>300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437999.9999999999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2560</v>
      </c>
      <c r="S14" s="63">
        <f>IFERROR(D14*INDEX(Parameters!$A$22:$P$29,MATCH(Calculations!$A14,Parameters!$A$22:$A$29,0),MATCH(Parameters!$N$22,Parameters!$A$22:$P$22,0)),"")</f>
        <v>20582.70676691729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300000</v>
      </c>
      <c r="B23" s="75">
        <f>SUM(C23:D23)</f>
        <v>25976.19047619048</v>
      </c>
      <c r="C23" s="75">
        <f>IF(Inputs!B56&gt;0,(Inputs!A56-Inputs!B56)/(DATE(YEAR(Inputs!$B$76),MONTH(Inputs!$B$76),DAY(Inputs!$B$76))-DATE(YEAR(Inputs!C56),MONTH(Inputs!C56),DAY(Inputs!C56)))*30,0)</f>
        <v>20476.19047619048</v>
      </c>
      <c r="D23" s="75">
        <f>IF(Inputs!B56&gt;0,Inputs!A56*0.22/12,0)</f>
        <v>5500</v>
      </c>
      <c r="E23" s="75">
        <f>IFERROR(ROUNDUP(Inputs!B56/C23,0),0)</f>
        <v>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43113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43144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108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312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314</v>
      </c>
      <c r="H52" s="12" t="s">
        <v>127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127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109</v>
      </c>
      <c r="I79" s="12" t="s">
        <v>165</v>
      </c>
      <c r="J79" s="70" t="s">
        <v>361</v>
      </c>
      <c r="K79" s="12" t="s">
        <v>312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