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<sst xmlns="http://schemas.openxmlformats.org/spreadsheetml/2006/main" uniqueCount="364">
  <si>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</si>
  <si>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</si>
  <si>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</si>
  <si>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</si>
  <si>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</si>
  <si>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</si>
  <si>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</si>
  <si>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</si>
  <si>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</si>
  <si>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</si>
  <si>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</si>
  <si>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</si>
  <si>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</si>
  <si>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</si>
  <si>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</si>
  <si>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</si>
  <si>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</si>
  <si>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</si>
  <si>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</si>
  <si>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</si>
  <si>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</si>
  <si>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</si>
  <si>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</si>
  <si>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</si>
  <si>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</si>
  <si>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</si>
  <si>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</si>
  <si>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</si>
  <si>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</si>
  <si>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</si>
  <si>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</si>
  <si>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</si>
  <si>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</si>
  <si>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</si>
  <si>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</si>
  <si>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</si>
  <si>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</si>
  <si>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</si>
  <si>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</si>
  <si>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</si>
  <si>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</si>
  <si>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</si>
  <si>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</si>
  <si>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</si>
  <si>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</si>
  <si>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</si>
  <si>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</si>
  <si>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</si>
  <si>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</si>
  <si>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</si>
  <si>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</si>
  <si>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</si>
  <si>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</si>
  <si>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</si>
  <si>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</si>
  <si>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</si>
  <si>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</si>
  <si>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</si>
  <si>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</si>
  <si>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</si>
  <si>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</si>
  <si>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</si>
  <si>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</si>
  <si>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</si>
  <si>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</si>
  <si>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</si>
  <si>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</si>
  <si>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</si>
  <si>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</si>
  <si>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</si>
  <si>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</si>
  <si>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</si>
  <si>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</si>
  <si>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</si>
  <si>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</si>
  <si>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</si>
  <si>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</si>
  <si>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</si>
  <si>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</si>
  <si>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</si>
  <si>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</si>
  <si>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</si>
  <si>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</si>
  <si>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</si>
  <si>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</si>
  <si>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</si>
  <si>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</si>
  <si>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</si>
  <si>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</si>
  <si>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</si>
  <si>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</si>
  <si>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</si>
  <si>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</si>
  <si>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</si>
  <si>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</si>
  <si>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</si>
  <si>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</si>
  <si>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</si>
  <si>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</si>
  <si>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</si>
  <si>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</si>
  <si>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</si>
  <si>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</si>
  <si>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</si>
  <si>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</si>
  <si>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</si>
  <si>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</si>
  <si>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</si>
  <si>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</si>
  <si>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</si>
  <si>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</si>
  <si>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</si>
  <si>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</si>
  <si>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</si>
  <si>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</si>
  <si>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</si>
  <si>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</si>
  <si>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</si>
  <si>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</si>
  <si>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</si>
  <si>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</si>
  <si>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</si>
  <si>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</si>
  <si>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</si>
  <si>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</si>
  <si>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</si>
  <si>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</si>
  <si>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</si>
  <si>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</si>
  <si>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</si>
  <si>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</si>
  <si>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</si>
  <si>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</si>
  <si>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</si>
  <si>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</si>
  <si>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</si>
  <si>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</si>
  <si>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</si>
  <si>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</si>
  <si>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</si>
  <si>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</si>
  <si>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</si>
  <si>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</si>
  <si>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</si>
  <si>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</si>
  <si>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</si>
  <si>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2018/1/16</t>
  </si>
  <si>
    <t>Loan terms</t>
  </si>
  <si>
    <t>Expected disbursement date</t>
  </si>
  <si>
    <t>Expected first repayment date</t>
  </si>
  <si>
    <t>2018/2/19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</si>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</sst>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1.341666666666667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0.1295336787564767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2451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11668</v>
      </c>
      <c r="J7" s="80">
        <f>IF(ISERROR(VLOOKUP(MONTH(J5),Inputs!$D$66:$D$71,1,0)),"",INDEX(Inputs!$B$66:$B$71,MATCH(MONTH(Output!J5),Inputs!$D$66:$D$71,0))-INDEX(Inputs!$C$66:$C$71,MATCH(MONTH(Output!J5),Inputs!$D$66:$D$71,0)))</f>
        <v>1896</v>
      </c>
      <c r="K7" s="80">
        <f>IF(ISERROR(VLOOKUP(MONTH(K5),Inputs!$D$66:$D$71,1,0)),"",INDEX(Inputs!$B$66:$B$71,MATCH(MONTH(Output!K5),Inputs!$D$66:$D$71,0))-INDEX(Inputs!$C$66:$C$71,MATCH(MONTH(Output!K5),Inputs!$D$66:$D$71,0)))</f>
        <v>1241</v>
      </c>
      <c r="L7" s="80">
        <f>IF(ISERROR(VLOOKUP(MONTH(L5),Inputs!$D$66:$D$71,1,0)),"",INDEX(Inputs!$B$66:$B$71,MATCH(MONTH(Output!L5),Inputs!$D$66:$D$71,0))-INDEX(Inputs!$C$66:$C$71,MATCH(MONTH(Output!L5),Inputs!$D$66:$D$71,0)))</f>
        <v>1546</v>
      </c>
      <c r="M7" s="80">
        <f>IF(ISERROR(VLOOKUP(MONTH(M5),Inputs!$D$66:$D$71,1,0)),"",INDEX(Inputs!$B$66:$B$71,MATCH(MONTH(Output!M5),Inputs!$D$66:$D$71,0))-INDEX(Inputs!$C$66:$C$71,MATCH(MONTH(Output!M5),Inputs!$D$66:$D$71,0)))</f>
        <v>1322</v>
      </c>
      <c r="N7" s="80">
        <f>IF(ISERROR(VLOOKUP(MONTH(N5),Inputs!$D$66:$D$71,1,0)),"",INDEX(Inputs!$B$66:$B$71,MATCH(MONTH(Output!N5),Inputs!$D$66:$D$71,0))-INDEX(Inputs!$C$66:$C$71,MATCH(MONTH(Output!N5),Inputs!$D$66:$D$71,0)))</f>
        <v>2451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11668</v>
      </c>
      <c r="V7" s="80">
        <f>IF(ISERROR(VLOOKUP(MONTH(V5),Inputs!$D$66:$D$71,1,0)),"",INDEX(Inputs!$B$66:$B$71,MATCH(MONTH(Output!V5),Inputs!$D$66:$D$71,0))-INDEX(Inputs!$C$66:$C$71,MATCH(MONTH(Output!V5),Inputs!$D$66:$D$71,0)))</f>
        <v>1896</v>
      </c>
      <c r="W7" s="80">
        <f>IF(ISERROR(VLOOKUP(MONTH(W5),Inputs!$D$66:$D$71,1,0)),"",INDEX(Inputs!$B$66:$B$71,MATCH(MONTH(Output!W5),Inputs!$D$66:$D$71,0))-INDEX(Inputs!$C$66:$C$71,MATCH(MONTH(Output!W5),Inputs!$D$66:$D$71,0)))</f>
        <v>1241</v>
      </c>
      <c r="X7" s="80">
        <f>IF(ISERROR(VLOOKUP(MONTH(X5),Inputs!$D$66:$D$71,1,0)),"",INDEX(Inputs!$B$66:$B$71,MATCH(MONTH(Output!X5),Inputs!$D$66:$D$71,0))-INDEX(Inputs!$C$66:$C$71,MATCH(MONTH(Output!X5),Inputs!$D$66:$D$71,0)))</f>
        <v>1546</v>
      </c>
      <c r="Y7" s="80">
        <f>IF(ISERROR(VLOOKUP(MONTH(Y5),Inputs!$D$66:$D$71,1,0)),"",INDEX(Inputs!$B$66:$B$71,MATCH(MONTH(Output!Y5),Inputs!$D$66:$D$71,0))-INDEX(Inputs!$C$66:$C$71,MATCH(MONTH(Output!Y5),Inputs!$D$66:$D$71,0)))</f>
        <v>1322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500000</v>
      </c>
      <c r="C11" s="80">
        <f>C6+C9-C10</f>
        <v>-29166.66666666666</v>
      </c>
      <c r="D11" s="80">
        <f>D6+D9-D10</f>
        <v>-29166.66666666666</v>
      </c>
      <c r="E11" s="80">
        <f>E6+E9-E10</f>
        <v>-29166.66666666666</v>
      </c>
      <c r="F11" s="80">
        <f>F6+F9-F10</f>
        <v>-29166.66666666666</v>
      </c>
      <c r="G11" s="80">
        <f>G6+G9-G10</f>
        <v>-29166.66666666666</v>
      </c>
      <c r="H11" s="80">
        <f>H6+H9-H10</f>
        <v>-29166.66666666666</v>
      </c>
      <c r="I11" s="80">
        <f>I6+I9-I10</f>
        <v>-29166.66666666666</v>
      </c>
      <c r="J11" s="80">
        <f>J6+J9-J10</f>
        <v>-29166.66666666666</v>
      </c>
      <c r="K11" s="80">
        <f>K6+K9-K10</f>
        <v>-29166.66666666666</v>
      </c>
      <c r="L11" s="80">
        <f>L6+L9-L10</f>
        <v>-29166.66666666666</v>
      </c>
      <c r="M11" s="80">
        <f>M6+M9-M10</f>
        <v>-29166.66666666666</v>
      </c>
      <c r="N11" s="80">
        <f>N6+N9-N10</f>
        <v>-29166.66666666666</v>
      </c>
      <c r="O11" s="80">
        <f>O6+O9-O10</f>
        <v>-29166.66666666666</v>
      </c>
      <c r="P11" s="80">
        <f>P6+P9-P10</f>
        <v>-29166.66666666666</v>
      </c>
      <c r="Q11" s="80">
        <f>Q6+Q9-Q10</f>
        <v>-29166.66666666666</v>
      </c>
      <c r="R11" s="80">
        <f>R6+R9-R10</f>
        <v>-29166.66666666666</v>
      </c>
      <c r="S11" s="80">
        <f>S6+S9-S10</f>
        <v>-29166.66666666666</v>
      </c>
      <c r="T11" s="80">
        <f>T6+T9-T10</f>
        <v>-29166.66666666666</v>
      </c>
      <c r="U11" s="80">
        <f>U6+U9-U10</f>
        <v>-29166.66666666666</v>
      </c>
      <c r="V11" s="80">
        <f>V6+V9-V10</f>
        <v>-29166.66666666666</v>
      </c>
      <c r="W11" s="80">
        <f>W6+W9-W10</f>
        <v>-29166.66666666666</v>
      </c>
      <c r="X11" s="80">
        <f>X6+X9-X10</f>
        <v>-29166.66666666666</v>
      </c>
      <c r="Y11" s="80">
        <f>Y6+Y9-Y10</f>
        <v>-29166.66666666666</v>
      </c>
      <c r="Z11" s="85">
        <f>SUMIF($B$13:$Y$13,"Yes",B11:Y11)</f>
        <v>-170833.3333333334</v>
      </c>
      <c r="AA11" s="80">
        <f>SUM(B11:M11)</f>
        <v>179166.6666666665</v>
      </c>
      <c r="AB11" s="46">
        <f>SUM(B11:Y11)</f>
        <v>-170833.3333333334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0.05833333333333333</v>
      </c>
      <c r="D12" s="82">
        <f>IF(D13="Yes",IF(SUM($B$10:D10)/(SUM($B$6:D6)+SUM($B$9:D9))&lt;0,999.99,SUM($B$10:D10)/(SUM($B$6:D6)+SUM($B$9:D9))),"")</f>
        <v>0.1166666666666667</v>
      </c>
      <c r="E12" s="82">
        <f>IF(E13="Yes",IF(SUM($B$10:E10)/(SUM($B$6:E6)+SUM($B$9:E9))&lt;0,999.99,SUM($B$10:E10)/(SUM($B$6:E6)+SUM($B$9:E9))),"")</f>
        <v>0.175</v>
      </c>
      <c r="F12" s="82">
        <f>IF(F13="Yes",IF(SUM($B$10:F10)/(SUM($B$6:F6)+SUM($B$9:F9))&lt;0,999.99,SUM($B$10:F10)/(SUM($B$6:F6)+SUM($B$9:F9))),"")</f>
        <v>0.2333333333333333</v>
      </c>
      <c r="G12" s="82">
        <f>IF(G13="Yes",IF(SUM($B$10:G10)/(SUM($B$6:G6)+SUM($B$9:G9))&lt;0,999.99,SUM($B$10:G10)/(SUM($B$6:G6)+SUM($B$9:G9))),"")</f>
        <v>0.2916666666666666</v>
      </c>
      <c r="H12" s="82">
        <f>IF(H13="Yes",IF(SUM($B$10:H10)/(SUM($B$6:H6)+SUM($B$9:H9))&lt;0,999.99,SUM($B$10:H10)/(SUM($B$6:H6)+SUM($B$9:H9))),"")</f>
        <v>0.3499999999999999</v>
      </c>
      <c r="I12" s="82">
        <f>IF(I13="Yes",IF(SUM($B$10:I10)/(SUM($B$6:I6)+SUM($B$9:I9))&lt;0,999.99,SUM($B$10:I10)/(SUM($B$6:I6)+SUM($B$9:I9))),"")</f>
        <v>0.4083333333333333</v>
      </c>
      <c r="J12" s="82">
        <f>IF(J13="Yes",IF(SUM($B$10:J10)/(SUM($B$6:J6)+SUM($B$9:J9))&lt;0,999.99,SUM($B$10:J10)/(SUM($B$6:J6)+SUM($B$9:J9))),"")</f>
        <v>0.4666666666666666</v>
      </c>
      <c r="K12" s="82">
        <f>IF(K13="Yes",IF(SUM($B$10:K10)/(SUM($B$6:K6)+SUM($B$9:K9))&lt;0,999.99,SUM($B$10:K10)/(SUM($B$6:K6)+SUM($B$9:K9))),"")</f>
        <v>0.5249999999999999</v>
      </c>
      <c r="L12" s="82">
        <f>IF(L13="Yes",IF(SUM($B$10:L10)/(SUM($B$6:L6)+SUM($B$9:L9))&lt;0,999.99,SUM($B$10:L10)/(SUM($B$6:L6)+SUM($B$9:L9))),"")</f>
        <v>0.5833333333333333</v>
      </c>
      <c r="M12" s="82">
        <f>IF(M13="Yes",IF(SUM($B$10:M10)/(SUM($B$6:M6)+SUM($B$9:M9))&lt;0,999.99,SUM($B$10:M10)/(SUM($B$6:M6)+SUM($B$9:M9))),"")</f>
        <v>0.6416666666666666</v>
      </c>
      <c r="N12" s="82">
        <f>IF(N13="Yes",IF(SUM($B$10:N10)/(SUM($B$6:N6)+SUM($B$9:N9))&lt;0,999.99,SUM($B$10:N10)/(SUM($B$6:N6)+SUM($B$9:N9))),"")</f>
        <v>0.7</v>
      </c>
      <c r="O12" s="82">
        <f>IF(O13="Yes",IF(SUM($B$10:O10)/(SUM($B$6:O6)+SUM($B$9:O9))&lt;0,999.99,SUM($B$10:O10)/(SUM($B$6:O6)+SUM($B$9:O9))),"")</f>
        <v>0.7583333333333334</v>
      </c>
      <c r="P12" s="82">
        <f>IF(P13="Yes",IF(SUM($B$10:P10)/(SUM($B$6:P6)+SUM($B$9:P9))&lt;0,999.99,SUM($B$10:P10)/(SUM($B$6:P6)+SUM($B$9:P9))),"")</f>
        <v>0.8166666666666668</v>
      </c>
      <c r="Q12" s="82">
        <f>IF(Q13="Yes",IF(SUM($B$10:Q10)/(SUM($B$6:Q6)+SUM($B$9:Q9))&lt;0,999.99,SUM($B$10:Q10)/(SUM($B$6:Q6)+SUM($B$9:Q9))),"")</f>
        <v>0.8750000000000001</v>
      </c>
      <c r="R12" s="82">
        <f>IF(R13="Yes",IF(SUM($B$10:R10)/(SUM($B$6:R6)+SUM($B$9:R9))&lt;0,999.99,SUM($B$10:R10)/(SUM($B$6:R6)+SUM($B$9:R9))),"")</f>
        <v>0.9333333333333335</v>
      </c>
      <c r="S12" s="82">
        <f>IF(S13="Yes",IF(SUM($B$10:S10)/(SUM($B$6:S6)+SUM($B$9:S9))&lt;0,999.99,SUM($B$10:S10)/(SUM($B$6:S6)+SUM($B$9:S9))),"")</f>
        <v>0.9916666666666668</v>
      </c>
      <c r="T12" s="82">
        <f>IF(T13="Yes",IF(SUM($B$10:T10)/(SUM($B$6:T6)+SUM($B$9:T9))&lt;0,999.99,SUM($B$10:T10)/(SUM($B$6:T6)+SUM($B$9:T9))),"")</f>
        <v>1.05</v>
      </c>
      <c r="U12" s="82">
        <f>IF(U13="Yes",IF(SUM($B$10:U10)/(SUM($B$6:U6)+SUM($B$9:U9))&lt;0,999.99,SUM($B$10:U10)/(SUM($B$6:U6)+SUM($B$9:U9))),"")</f>
        <v>1.108333333333333</v>
      </c>
      <c r="V12" s="82">
        <f>IF(V13="Yes",IF(SUM($B$10:V10)/(SUM($B$6:V6)+SUM($B$9:V9))&lt;0,999.99,SUM($B$10:V10)/(SUM($B$6:V6)+SUM($B$9:V9))),"")</f>
        <v>1.166666666666667</v>
      </c>
      <c r="W12" s="82">
        <f>IF(W13="Yes",IF(SUM($B$10:W10)/(SUM($B$6:W6)+SUM($B$9:W9))&lt;0,999.99,SUM($B$10:W10)/(SUM($B$6:W6)+SUM($B$9:W9))),"")</f>
        <v>1.225</v>
      </c>
      <c r="X12" s="82">
        <f>IF(X13="Yes",IF(SUM($B$10:X10)/(SUM($B$6:X6)+SUM($B$9:X9))&lt;0,999.99,SUM($B$10:X10)/(SUM($B$6:X6)+SUM($B$9:X9))),"")</f>
        <v>1.283333333333333</v>
      </c>
      <c r="Y12" s="82">
        <f>IF(Y13="Yes",IF(SUM($B$10:Y10)/(SUM($B$6:Y6)+SUM($B$9:Y9))&lt;0,999.99,SUM($B$10:Y10)/(SUM($B$6:Y6)+SUM($B$9:Y9))),"")</f>
        <v>1.341666666666667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800000</v>
      </c>
    </row>
    <row r="101" spans="1:30" customHeight="1" ht="15.75">
      <c r="A101" s="1" t="s">
        <v>67</v>
      </c>
      <c r="B101" s="19">
        <f>SUM(B94:B100)</f>
        <v>3860000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3000000</v>
      </c>
    </row>
    <row r="46" spans="1:48" customHeight="1" ht="30">
      <c r="A46" s="57" t="s">
        <v>122</v>
      </c>
      <c r="B46" s="161">
        <v>0</v>
      </c>
    </row>
    <row r="47" spans="1:48" customHeight="1" ht="30">
      <c r="A47" s="57" t="s">
        <v>123</v>
      </c>
      <c r="B47" s="161">
        <v>50000</v>
      </c>
    </row>
    <row r="48" spans="1:48" customHeight="1" ht="30">
      <c r="A48" s="57" t="s">
        <v>124</v>
      </c>
      <c r="B48" s="161">
        <v>800000</v>
      </c>
    </row>
    <row r="49" spans="1:48" customHeight="1" ht="30">
      <c r="A49" s="57" t="s">
        <v>125</v>
      </c>
      <c r="B49" s="161">
        <v>10000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165800</v>
      </c>
      <c r="C66" s="163">
        <v>163349</v>
      </c>
      <c r="D66" s="49">
        <f>INDEX(Parameters!$D$79:$D$90,MATCH(Inputs!A66,Parameters!$C$79:$C$90,0))</f>
        <v>1</v>
      </c>
    </row>
    <row r="67" spans="1:48">
      <c r="A67" s="143" t="s">
        <v>138</v>
      </c>
      <c r="B67" s="157">
        <v>317736</v>
      </c>
      <c r="C67" s="165">
        <v>316414</v>
      </c>
      <c r="D67" s="49">
        <f>INDEX(Parameters!$D$79:$D$90,MATCH(Inputs!A67,Parameters!$C$79:$C$90,0))</f>
        <v>12</v>
      </c>
    </row>
    <row r="68" spans="1:48">
      <c r="A68" s="143" t="s">
        <v>139</v>
      </c>
      <c r="B68" s="157">
        <v>287502</v>
      </c>
      <c r="C68" s="165">
        <v>285956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127191</v>
      </c>
      <c r="C69" s="165">
        <v>125950</v>
      </c>
      <c r="D69" s="49">
        <f>INDEX(Parameters!$D$79:$D$90,MATCH(Inputs!A69,Parameters!$C$79:$C$90,0))</f>
        <v>10</v>
      </c>
    </row>
    <row r="70" spans="1:48">
      <c r="A70" s="143" t="s">
        <v>141</v>
      </c>
      <c r="B70" s="157">
        <v>137967</v>
      </c>
      <c r="C70" s="165">
        <v>136071</v>
      </c>
      <c r="D70" s="49">
        <f>INDEX(Parameters!$D$79:$D$90,MATCH(Inputs!A70,Parameters!$C$79:$C$90,0))</f>
        <v>9</v>
      </c>
    </row>
    <row r="71" spans="1:48">
      <c r="A71" s="144" t="s">
        <v>142</v>
      </c>
      <c r="B71" s="158">
        <v>137285</v>
      </c>
      <c r="C71" s="167">
        <v>125617</v>
      </c>
      <c r="D71" s="49">
        <f>INDEX(Parameters!$D$79:$D$90,MATCH(Inputs!A71,Parameters!$C$79:$C$90,0))</f>
        <v>8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2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500000</v>
      </c>
    </row>
    <row r="82" spans="1:48">
      <c r="A82" t="s">
        <v>152</v>
      </c>
      <c r="B82" s="161">
        <v>20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24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43150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43132</v>
      </c>
      <c r="F33" t="s">
        <v>148</v>
      </c>
      <c r="G33" s="128">
        <f>IF(Inputs!B79="","",DATE(YEAR(Inputs!B79),MONTH(Inputs!B79),DAY(Inputs!B79)))</f>
        <v>43116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43178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43160</v>
      </c>
      <c r="F34" t="s">
        <v>149</v>
      </c>
      <c r="G34" s="128">
        <f>IF(Inputs!B80="","",DATE(YEAR(Inputs!B80),MONTH(Inputs!B80),DAY(Inputs!B80)))</f>
        <v>43150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43209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43191</v>
      </c>
      <c r="F35" t="s">
        <v>151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43239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43221</v>
      </c>
      <c r="F36" t="s">
        <v>152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43270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43252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43300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43282</v>
      </c>
      <c r="F38" t="s">
        <v>214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43331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43313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43362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43344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43392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43374</v>
      </c>
      <c r="F41" t="s">
        <v>215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43423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43405</v>
      </c>
      <c r="F42" t="s">
        <v>216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43453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43484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43466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43515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43497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43543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43525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43574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43556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43604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43586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43635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43617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43665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43647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43696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43678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43727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43709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43757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43739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43788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43770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43818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43800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43849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43831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306</v>
      </c>
      <c r="I52" s="12" t="s">
        <v>119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306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119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137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303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138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