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<sst xmlns="http://schemas.openxmlformats.org/spreadsheetml/2006/main" uniqueCount="366">
  <si>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</si>
  <si>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</si>
  <si>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</si>
  <si>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</si>
  <si>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</si>
  <si>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</si>
  <si>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</si>
  <si>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</si>
  <si>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</si>
  <si>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</si>
  <si>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</si>
  <si>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</si>
  <si>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</si>
  <si>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</si>
  <si>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</si>
  <si>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</si>
  <si>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</si>
  <si>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</si>
  <si>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</si>
  <si>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</si>
  <si>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</si>
  <si>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</si>
  <si>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</si>
  <si>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</si>
  <si>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</si>
  <si>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</si>
  <si>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</si>
  <si>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</si>
  <si>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</si>
  <si>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</si>
  <si>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</si>
  <si>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</si>
  <si>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</si>
  <si>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</si>
  <si>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</si>
  <si>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</si>
  <si>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</si>
  <si>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</si>
  <si>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</si>
  <si>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</si>
  <si>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</si>
  <si>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</si>
  <si>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</si>
  <si>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</si>
  <si>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</si>
  <si>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</si>
  <si>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</si>
  <si>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</si>
  <si>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</si>
  <si>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</si>
  <si>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</si>
  <si>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</si>
  <si>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</si>
  <si>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</si>
  <si>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</si>
  <si>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</si>
  <si>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</si>
  <si>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</si>
  <si>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</si>
  <si>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</si>
  <si>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</si>
  <si>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</si>
  <si>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</si>
  <si>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</si>
  <si>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</si>
  <si>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</si>
  <si>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</si>
  <si>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</si>
  <si>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</si>
  <si>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</si>
  <si>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</si>
  <si>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</si>
  <si>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</si>
  <si>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</si>
  <si>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</si>
  <si>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</si>
  <si>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</si>
  <si>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</si>
  <si>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</si>
  <si>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</si>
  <si>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</si>
  <si>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</si>
  <si>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</si>
  <si>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</si>
  <si>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</si>
  <si>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</si>
  <si>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</si>
  <si>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</si>
  <si>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</si>
  <si>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</si>
  <si>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Home recycled</t>
  </si>
  <si>
    <t>Yes only manure</t>
  </si>
  <si>
    <t>No</t>
  </si>
  <si>
    <t>February</t>
  </si>
  <si>
    <t>Other crops</t>
  </si>
  <si>
    <t>Other farmers</t>
  </si>
  <si>
    <t>April</t>
  </si>
  <si>
    <t>Sweet potatoes</t>
  </si>
  <si>
    <t>NGO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</si>
  <si>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</si>
  <si>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</si>
  <si>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</si>
  <si>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</si>
  <si>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</si>
  <si>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</si>
  <si>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</si>
  <si>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</si>
  <si>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</si>
  <si>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</si>
  <si>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</si>
  <si>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</si>
  <si>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</si>
  <si>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</si>
  <si>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</si>
  <si>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</si>
  <si>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</si>
  <si>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</si>
  <si>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</si>
  <si>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</si>
  <si>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Brick making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</si>
  <si>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</si>
  <si>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</si>
  <si>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</si>
  <si>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</si>
  <si>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</si>
  <si>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</si>
  <si>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</si>
  <si>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</si>
  <si>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</si>
  <si>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</si>
  <si>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</si>
  <si>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</si>
  <si>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</si>
  <si>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</si>
  <si>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</si>
  <si>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</si>
  <si>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</si>
  <si>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</si>
  <si>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</si>
  <si>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</si>
  <si>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</si>
  <si>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</si>
  <si>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</si>
  <si>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</si>
  <si>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</si>
  <si>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</si>
  <si>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</si>
  <si>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</si>
  <si>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</si>
  <si>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</si>
  <si>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</si>
  <si>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</si>
  <si>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May</t>
  </si>
  <si>
    <t>June</t>
  </si>
  <si>
    <t>Loan info</t>
  </si>
  <si>
    <t>Branch ID</t>
  </si>
  <si>
    <t>Submission date</t>
  </si>
  <si>
    <t>2018/1/17</t>
  </si>
  <si>
    <t>Loan terms</t>
  </si>
  <si>
    <t>Expected disbursement date</t>
  </si>
  <si>
    <t>2018/1/18</t>
  </si>
  <si>
    <t>Expected first repayment date</t>
  </si>
  <si>
    <t>2018/2/21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</si>
  <si>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</si>
  <si>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</si>
  <si>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</si>
  <si>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</si>
  <si>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</si>
  <si>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</si>
  <si>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</si>
  <si>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</si>
  <si>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</si>
  <si>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</si>
  <si>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</si>
  <si>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</si>
  <si>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</si>
  <si>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</si>
  <si>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</si>
  <si>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</si>
  <si>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</si>
  <si>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</si>
  <si>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</si>
  <si>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</si>
  <si>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</si>
  <si>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</si>
  <si>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</si>
  <si>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</si>
  <si>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</si>
  <si>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</si>
  <si>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</si>
  <si>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</si>
  <si>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</si>
  <si>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</si>
  <si>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</si>
  <si>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</si>
  <si>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</si>
  <si>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</si>
  <si>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</si>
  <si>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</si>
  <si>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</si>
  <si>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</si>
  <si>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</si>
  <si>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</si>
  <si>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</si>
  <si>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</si>
  <si>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</si>
  <si>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</si>
  <si>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</si>
  <si>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</si>
  <si>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</si>
  <si>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</si>
  <si>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</si>
  <si>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</si>
  <si>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</si>
  <si>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</si>
  <si>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</si>
  <si>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</si>
  <si>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</si>
  <si>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</si>
  <si>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</si>
  <si>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</si>
  <si>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</si>
  <si>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</si>
  <si>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</si>
  <si>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</si>
  <si>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</si>
  <si>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</si>
  <si>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</si>
  <si>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</si>
  <si>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</si>
  <si>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</si>
  <si>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</si>
  <si>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</si>
  <si>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</si>
  <si>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</si>
  <si>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</si>
  <si>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</si>
  <si>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</si>
  <si>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</si>
  <si>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</si>
  <si>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</si>
  <si>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</si>
  <si>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</si>
  <si>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</si>
  <si>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</si>
  <si>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</si>
  <si>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</si>
  <si>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</si>
  <si>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</si>
  <si>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</si>
  <si>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</si>
  <si>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</si>
  <si>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</si>
  <si>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</si>
  <si>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</si>
  <si>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</si>
  <si>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</si>
  <si>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</si>
  <si>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</si>
  <si>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</si>
  <si>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</si>
  <si>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</si>
  <si>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</si>
  <si>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</si>
  <si>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</si>
  <si>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</si>
  <si>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</si>
  <si>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</si>
  <si>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</si>
  <si>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</si>
  <si>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</si>
  <si>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</si>
  <si>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</si>
  <si>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</si>
  <si>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</si>
  <si>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</si>
  <si>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</si>
  <si>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</si>
  <si>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</si>
  <si>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</si>
  <si>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</si>
  <si>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</si>
  <si>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</si>
  <si>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</si>
  <si>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</si>
  <si>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</si>
  <si>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</si>
  <si>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</si>
  <si>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</si>
  <si>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</si>
  <si>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</si>
  <si>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</si>
  <si>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</si>
  <si>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</si>
  <si>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</si>
  <si>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</si>
  <si>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</si>
  <si>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</si>
  <si>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</si>
  <si>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</si>
  <si>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</si>
  <si>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</si>
  <si>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</si>
  <si>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</si>
  <si>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</si>
  <si>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</si>
  <si>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</si>
  <si>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</si>
  <si>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</si>
  <si>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</si>
  <si>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</si>
  <si>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</si>
  <si>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</si>
  <si>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</si>
  <si>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</si>
  <si>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</si>
  <si>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</si>
  <si>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</si>
  <si>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</si>
  <si>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</si>
  <si>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</si>
  <si>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</si>
  <si>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</si>
  <si>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</si>
  <si>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</si>
  <si>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</si>
  <si>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</si>
  <si>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</si>
  <si>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</si>
  <si>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</si>
  <si>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</si>
  <si>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</si>
  <si>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</si>
  <si>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</si>
  <si>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</si>
  <si>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</si>
  <si>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</si>
  <si>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</si>
  <si>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</si>
  <si>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</si>
  <si>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</si>
  <si>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</si>
  <si>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</si>
  <si>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</si>
  <si>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</si>
  <si>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</si>
  <si>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</si>
  <si>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</si>
  <si>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</si>
  <si>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</si>
  <si>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using a diesel pump</t>
  </si>
  <si>
    <t>Sometimes</t>
  </si>
  <si>
    <t>Weeks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</si>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</sst>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Sweet potatoes,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Brick making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0.1621511551918547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0.04768583450210379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11500</v>
      </c>
    </row>
    <row r="17" spans="1:7">
      <c r="B17" s="1" t="s">
        <v>11</v>
      </c>
      <c r="C17" s="36">
        <f>SUM(Output!B6:M6)</f>
        <v>594314.4000000003</v>
      </c>
    </row>
    <row r="18" spans="1:7">
      <c r="B18" s="1" t="s">
        <v>12</v>
      </c>
      <c r="C18" s="36">
        <f>MIN(Output!B6:M6)</f>
        <v>19743.36666666667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156743.3666666667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156743.3666666667</v>
      </c>
      <c r="C6" s="51">
        <f>C30-C88</f>
        <v>26137.36666666667</v>
      </c>
      <c r="D6" s="51">
        <f>D30-D88</f>
        <v>19743.36666666667</v>
      </c>
      <c r="E6" s="51">
        <f>E30-E88</f>
        <v>30743.36666666667</v>
      </c>
      <c r="F6" s="51">
        <f>F30-F88</f>
        <v>30743.36666666667</v>
      </c>
      <c r="G6" s="51">
        <f>G30-G88</f>
        <v>30743.36666666667</v>
      </c>
      <c r="H6" s="51">
        <f>H30-H88</f>
        <v>156743.3666666667</v>
      </c>
      <c r="I6" s="51">
        <f>I30-I88</f>
        <v>30743.36666666667</v>
      </c>
      <c r="J6" s="51">
        <f>J30-J88</f>
        <v>19743.36666666667</v>
      </c>
      <c r="K6" s="51">
        <f>K30-K88</f>
        <v>30743.36666666667</v>
      </c>
      <c r="L6" s="51">
        <f>L30-L88</f>
        <v>30743.36666666667</v>
      </c>
      <c r="M6" s="51">
        <f>M30-M88</f>
        <v>30743.36666666667</v>
      </c>
      <c r="N6" s="51">
        <f>N30-N88</f>
        <v>156743.3666666667</v>
      </c>
      <c r="O6" s="51">
        <f>O30-O88</f>
        <v>26137.36666666667</v>
      </c>
      <c r="P6" s="51">
        <f>P30-P88</f>
        <v>19743.36666666667</v>
      </c>
      <c r="Q6" s="51">
        <f>Q30-Q88</f>
        <v>30743.36666666667</v>
      </c>
      <c r="R6" s="51">
        <f>R30-R88</f>
        <v>30743.36666666667</v>
      </c>
      <c r="S6" s="51">
        <f>S30-S88</f>
        <v>30743.36666666667</v>
      </c>
      <c r="T6" s="51">
        <f>T30-T88</f>
        <v>156743.3666666667</v>
      </c>
      <c r="U6" s="51">
        <f>U30-U88</f>
        <v>30743.36666666667</v>
      </c>
      <c r="V6" s="51">
        <f>V30-V88</f>
        <v>19743.36666666667</v>
      </c>
      <c r="W6" s="51">
        <f>W30-W88</f>
        <v>30743.36666666667</v>
      </c>
      <c r="X6" s="51">
        <f>X30-X88</f>
        <v>30743.36666666667</v>
      </c>
      <c r="Y6" s="51">
        <f>Y30-Y88</f>
        <v>30743.36666666667</v>
      </c>
      <c r="Z6" s="51">
        <f>SUMIF($B$13:$Y$13,"Yes",B6:Y6)</f>
        <v>751057.766666667</v>
      </c>
      <c r="AA6" s="51">
        <f>AA30-AA88</f>
        <v>594314.4000000001</v>
      </c>
      <c r="AB6" s="51">
        <f>AB30-AB88</f>
        <v>1188628.8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240000</v>
      </c>
      <c r="C7" s="80">
        <f>IF(ISERROR(VLOOKUP(MONTH(C5),Inputs!$D$66:$D$71,1,0)),"",INDEX(Inputs!$B$66:$B$71,MATCH(MONTH(Output!C5),Inputs!$D$66:$D$71,0))-INDEX(Inputs!$C$66:$C$71,MATCH(MONTH(Output!C5),Inputs!$D$66:$D$71,0)))</f>
        <v>200000</v>
      </c>
      <c r="D7" s="80">
        <f>IF(ISERROR(VLOOKUP(MONTH(D5),Inputs!$D$66:$D$71,1,0)),"",INDEX(Inputs!$B$66:$B$71,MATCH(MONTH(Output!D5),Inputs!$D$66:$D$71,0))-INDEX(Inputs!$C$66:$C$71,MATCH(MONTH(Output!D5),Inputs!$D$66:$D$71,0)))</f>
        <v>140000</v>
      </c>
      <c r="E7" s="80">
        <f>IF(ISERROR(VLOOKUP(MONTH(E5),Inputs!$D$66:$D$71,1,0)),"",INDEX(Inputs!$B$66:$B$71,MATCH(MONTH(Output!E5),Inputs!$D$66:$D$71,0))-INDEX(Inputs!$C$66:$C$71,MATCH(MONTH(Output!E5),Inputs!$D$66:$D$71,0)))</f>
        <v>105000</v>
      </c>
      <c r="F7" s="80">
        <f>IF(ISERROR(VLOOKUP(MONTH(F5),Inputs!$D$66:$D$71,1,0)),"",INDEX(Inputs!$B$66:$B$71,MATCH(MONTH(Output!F5),Inputs!$D$66:$D$71,0))-INDEX(Inputs!$C$66:$C$71,MATCH(MONTH(Output!F5),Inputs!$D$66:$D$71,0)))</f>
        <v>160000</v>
      </c>
      <c r="G7" s="80">
        <f>IF(ISERROR(VLOOKUP(MONTH(G5),Inputs!$D$66:$D$71,1,0)),"",INDEX(Inputs!$B$66:$B$71,MATCH(MONTH(Output!G5),Inputs!$D$66:$D$71,0))-INDEX(Inputs!$C$66:$C$71,MATCH(MONTH(Output!G5),Inputs!$D$66:$D$71,0)))</f>
        <v>260000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240000</v>
      </c>
      <c r="O7" s="80">
        <f>IF(ISERROR(VLOOKUP(MONTH(O5),Inputs!$D$66:$D$71,1,0)),"",INDEX(Inputs!$B$66:$B$71,MATCH(MONTH(Output!O5),Inputs!$D$66:$D$71,0))-INDEX(Inputs!$C$66:$C$71,MATCH(MONTH(Output!O5),Inputs!$D$66:$D$71,0)))</f>
        <v>200000</v>
      </c>
      <c r="P7" s="80">
        <f>IF(ISERROR(VLOOKUP(MONTH(P5),Inputs!$D$66:$D$71,1,0)),"",INDEX(Inputs!$B$66:$B$71,MATCH(MONTH(Output!P5),Inputs!$D$66:$D$71,0))-INDEX(Inputs!$C$66:$C$71,MATCH(MONTH(Output!P5),Inputs!$D$66:$D$71,0)))</f>
        <v>140000</v>
      </c>
      <c r="Q7" s="80">
        <f>IF(ISERROR(VLOOKUP(MONTH(Q5),Inputs!$D$66:$D$71,1,0)),"",INDEX(Inputs!$B$66:$B$71,MATCH(MONTH(Output!Q5),Inputs!$D$66:$D$71,0))-INDEX(Inputs!$C$66:$C$71,MATCH(MONTH(Output!Q5),Inputs!$D$66:$D$71,0)))</f>
        <v>105000</v>
      </c>
      <c r="R7" s="80">
        <f>IF(ISERROR(VLOOKUP(MONTH(R5),Inputs!$D$66:$D$71,1,0)),"",INDEX(Inputs!$B$66:$B$71,MATCH(MONTH(Output!R5),Inputs!$D$66:$D$71,0))-INDEX(Inputs!$C$66:$C$71,MATCH(MONTH(Output!R5),Inputs!$D$66:$D$71,0)))</f>
        <v>160000</v>
      </c>
      <c r="S7" s="80">
        <f>IF(ISERROR(VLOOKUP(MONTH(S5),Inputs!$D$66:$D$71,1,0)),"",INDEX(Inputs!$B$66:$B$71,MATCH(MONTH(Output!S5),Inputs!$D$66:$D$71,0))-INDEX(Inputs!$C$66:$C$71,MATCH(MONTH(Output!S5),Inputs!$D$66:$D$71,0)))</f>
        <v>260000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11500</v>
      </c>
      <c r="D10" s="37">
        <f>SUMPRODUCT((Calculations!$D$33:$D$84=Output!D5)+0,Calculations!$C$33:$C$84)</f>
        <v>11500</v>
      </c>
      <c r="E10" s="37">
        <f>SUMPRODUCT((Calculations!$D$33:$D$84=Output!E5)+0,Calculations!$C$33:$C$84)</f>
        <v>11500</v>
      </c>
      <c r="F10" s="37">
        <f>SUMPRODUCT((Calculations!$D$33:$D$84=Output!F5)+0,Calculations!$C$33:$C$84)</f>
        <v>11500</v>
      </c>
      <c r="G10" s="37">
        <f>SUMPRODUCT((Calculations!$D$33:$D$84=Output!G5)+0,Calculations!$C$33:$C$84)</f>
        <v>11500</v>
      </c>
      <c r="H10" s="37">
        <f>SUMPRODUCT((Calculations!$D$33:$D$84=Output!H5)+0,Calculations!$C$33:$C$84)</f>
        <v>11500</v>
      </c>
      <c r="I10" s="37">
        <f>SUMPRODUCT((Calculations!$D$33:$D$84=Output!I5)+0,Calculations!$C$33:$C$84)</f>
        <v>11500</v>
      </c>
      <c r="J10" s="37">
        <f>SUMPRODUCT((Calculations!$D$33:$D$84=Output!J5)+0,Calculations!$C$33:$C$84)</f>
        <v>11500</v>
      </c>
      <c r="K10" s="37">
        <f>SUMPRODUCT((Calculations!$D$33:$D$84=Output!K5)+0,Calculations!$C$33:$C$84)</f>
        <v>11500</v>
      </c>
      <c r="L10" s="37">
        <f>SUMPRODUCT((Calculations!$D$33:$D$84=Output!L5)+0,Calculations!$C$33:$C$84)</f>
        <v>11500</v>
      </c>
      <c r="M10" s="37">
        <f>SUMPRODUCT((Calculations!$D$33:$D$84=Output!M5)+0,Calculations!$C$33:$C$84)</f>
        <v>11500</v>
      </c>
      <c r="N10" s="37">
        <f>SUMPRODUCT((Calculations!$D$33:$D$84=Output!N5)+0,Calculations!$C$33:$C$84)</f>
        <v>11500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138000</v>
      </c>
      <c r="AA10" s="37">
        <f>SUM(B10:M10)</f>
        <v>126500</v>
      </c>
      <c r="AB10" s="37">
        <f>SUM(B10:Y10)</f>
        <v>138000</v>
      </c>
    </row>
    <row r="11" spans="1:30" customHeight="1" ht="15.75">
      <c r="A11" s="43" t="s">
        <v>31</v>
      </c>
      <c r="B11" s="80">
        <f>B6+B9-B10</f>
        <v>256743.3666666667</v>
      </c>
      <c r="C11" s="80">
        <f>C6+C9-C10</f>
        <v>14637.36666666667</v>
      </c>
      <c r="D11" s="80">
        <f>D6+D9-D10</f>
        <v>8243.366666666669</v>
      </c>
      <c r="E11" s="80">
        <f>E6+E9-E10</f>
        <v>19243.36666666667</v>
      </c>
      <c r="F11" s="80">
        <f>F6+F9-F10</f>
        <v>19243.36666666667</v>
      </c>
      <c r="G11" s="80">
        <f>G6+G9-G10</f>
        <v>19243.36666666667</v>
      </c>
      <c r="H11" s="80">
        <f>H6+H9-H10</f>
        <v>145243.3666666667</v>
      </c>
      <c r="I11" s="80">
        <f>I6+I9-I10</f>
        <v>19243.36666666667</v>
      </c>
      <c r="J11" s="80">
        <f>J6+J9-J10</f>
        <v>8243.366666666669</v>
      </c>
      <c r="K11" s="80">
        <f>K6+K9-K10</f>
        <v>19243.36666666667</v>
      </c>
      <c r="L11" s="80">
        <f>L6+L9-L10</f>
        <v>19243.36666666667</v>
      </c>
      <c r="M11" s="80">
        <f>M6+M9-M10</f>
        <v>19243.36666666667</v>
      </c>
      <c r="N11" s="80">
        <f>N6+N9-N10</f>
        <v>145243.3666666667</v>
      </c>
      <c r="O11" s="80">
        <f>O6+O9-O10</f>
        <v>26137.36666666667</v>
      </c>
      <c r="P11" s="80">
        <f>P6+P9-P10</f>
        <v>19743.36666666667</v>
      </c>
      <c r="Q11" s="80">
        <f>Q6+Q9-Q10</f>
        <v>30743.36666666667</v>
      </c>
      <c r="R11" s="80">
        <f>R6+R9-R10</f>
        <v>30743.36666666667</v>
      </c>
      <c r="S11" s="80">
        <f>S6+S9-S10</f>
        <v>30743.36666666667</v>
      </c>
      <c r="T11" s="80">
        <f>T6+T9-T10</f>
        <v>156743.3666666667</v>
      </c>
      <c r="U11" s="80">
        <f>U6+U9-U10</f>
        <v>30743.36666666667</v>
      </c>
      <c r="V11" s="80">
        <f>V6+V9-V10</f>
        <v>19743.36666666667</v>
      </c>
      <c r="W11" s="80">
        <f>W6+W9-W10</f>
        <v>30743.36666666667</v>
      </c>
      <c r="X11" s="80">
        <f>X6+X9-X10</f>
        <v>30743.36666666667</v>
      </c>
      <c r="Y11" s="80">
        <f>Y6+Y9-Y10</f>
        <v>30743.36666666667</v>
      </c>
      <c r="Z11" s="85">
        <f>SUMIF($B$13:$Y$13,"Yes",B11:Y11)</f>
        <v>713057.766666667</v>
      </c>
      <c r="AA11" s="80">
        <f>SUM(B11:M11)</f>
        <v>567814.4000000003</v>
      </c>
      <c r="AB11" s="46">
        <f>SUM(B11:Y11)</f>
        <v>1150628.800000001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0.0406531751543819</v>
      </c>
      <c r="D12" s="82">
        <f>IF(D13="Yes",IF(SUM($B$10:D10)/(SUM($B$6:D6)+SUM($B$9:D9))&lt;0,999.99,SUM($B$10:D10)/(SUM($B$6:D6)+SUM($B$9:D9))),"")</f>
        <v>0.07600187823772132</v>
      </c>
      <c r="E12" s="82">
        <f>IF(E13="Yes",IF(SUM($B$10:E10)/(SUM($B$6:E6)+SUM($B$9:E9))&lt;0,999.99,SUM($B$10:E10)/(SUM($B$6:E6)+SUM($B$9:E9))),"")</f>
        <v>0.103489402685165</v>
      </c>
      <c r="F12" s="82">
        <f>IF(F13="Yes",IF(SUM($B$10:F10)/(SUM($B$6:F6)+SUM($B$9:F9))&lt;0,999.99,SUM($B$10:F10)/(SUM($B$6:F6)+SUM($B$9:F9))),"")</f>
        <v>0.1263351589374115</v>
      </c>
      <c r="G12" s="82">
        <f>IF(G13="Yes",IF(SUM($B$10:G10)/(SUM($B$6:G6)+SUM($B$9:G9))&lt;0,999.99,SUM($B$10:G10)/(SUM($B$6:G6)+SUM($B$9:G9))),"")</f>
        <v>0.145623371867388</v>
      </c>
      <c r="H12" s="82">
        <f>IF(H13="Yes",IF(SUM($B$10:H10)/(SUM($B$6:H6)+SUM($B$9:H9))&lt;0,999.99,SUM($B$10:H10)/(SUM($B$6:H6)+SUM($B$9:H9))),"")</f>
        <v>0.1250911972236764</v>
      </c>
      <c r="I12" s="82">
        <f>IF(I13="Yes",IF(SUM($B$10:I10)/(SUM($B$6:I6)+SUM($B$9:I9))&lt;0,999.99,SUM($B$10:I10)/(SUM($B$6:I6)+SUM($B$9:I9))),"")</f>
        <v>0.138235173576441</v>
      </c>
      <c r="J12" s="82">
        <f>IF(J13="Yes",IF(SUM($B$10:J10)/(SUM($B$6:J6)+SUM($B$9:J9))&lt;0,999.99,SUM($B$10:J10)/(SUM($B$6:J6)+SUM($B$9:J9))),"")</f>
        <v>0.1528025228360879</v>
      </c>
      <c r="K12" s="82">
        <f>IF(K13="Yes",IF(SUM($B$10:K10)/(SUM($B$6:K6)+SUM($B$9:K9))&lt;0,999.99,SUM($B$10:K10)/(SUM($B$6:K6)+SUM($B$9:K9))),"")</f>
        <v>0.1635516357007147</v>
      </c>
      <c r="L12" s="82">
        <f>IF(L13="Yes",IF(SUM($B$10:L10)/(SUM($B$6:L6)+SUM($B$9:L9))&lt;0,999.99,SUM($B$10:L10)/(SUM($B$6:L6)+SUM($B$9:L9))),"")</f>
        <v>0.173304731857142</v>
      </c>
      <c r="M12" s="82">
        <f>IF(M13="Yes",IF(SUM($B$10:M10)/(SUM($B$6:M6)+SUM($B$9:M9))&lt;0,999.99,SUM($B$10:M10)/(SUM($B$6:M6)+SUM($B$9:M9))),"")</f>
        <v>0.1821941183993879</v>
      </c>
      <c r="N12" s="82">
        <f>IF(N13="Yes",IF(SUM($B$10:N10)/(SUM($B$6:N6)+SUM($B$9:N9))&lt;0,999.99,SUM($B$10:N10)/(SUM($B$6:N6)+SUM($B$9:N9))),"")</f>
        <v>0.1621511551918547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Sweet potatoes</v>
      </c>
      <c r="B20" s="36">
        <f>N20</f>
        <v>126000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126000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126000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126000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378000</v>
      </c>
      <c r="AA20" s="36">
        <f>SUM(B20:M20)</f>
        <v>252000</v>
      </c>
      <c r="AB20" s="36">
        <f>SUM(B20:Y20)</f>
        <v>504000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4927.5</v>
      </c>
      <c r="C24" s="36">
        <f>IFERROR(Calculations!$P14/12,"")</f>
        <v>4927.5</v>
      </c>
      <c r="D24" s="36">
        <f>IFERROR(Calculations!$P14/12,"")</f>
        <v>4927.5</v>
      </c>
      <c r="E24" s="36">
        <f>IFERROR(Calculations!$P14/12,"")</f>
        <v>4927.5</v>
      </c>
      <c r="F24" s="36">
        <f>IFERROR(Calculations!$P14/12,"")</f>
        <v>4927.5</v>
      </c>
      <c r="G24" s="36">
        <f>IFERROR(Calculations!$P14/12,"")</f>
        <v>4927.5</v>
      </c>
      <c r="H24" s="36">
        <f>IFERROR(Calculations!$P14/12,"")</f>
        <v>4927.5</v>
      </c>
      <c r="I24" s="36">
        <f>IFERROR(Calculations!$P14/12,"")</f>
        <v>4927.5</v>
      </c>
      <c r="J24" s="36">
        <f>IFERROR(Calculations!$P14/12,"")</f>
        <v>4927.5</v>
      </c>
      <c r="K24" s="36">
        <f>IFERROR(Calculations!$P14/12,"")</f>
        <v>4927.5</v>
      </c>
      <c r="L24" s="36">
        <f>IFERROR(Calculations!$P14/12,"")</f>
        <v>4927.5</v>
      </c>
      <c r="M24" s="36">
        <f>IFERROR(Calculations!$P14/12,"")</f>
        <v>4927.5</v>
      </c>
      <c r="N24" s="36">
        <f>IFERROR(Calculations!$P14/12,"")</f>
        <v>4927.5</v>
      </c>
      <c r="O24" s="36">
        <f>IFERROR(Calculations!$P14/12,"")</f>
        <v>4927.5</v>
      </c>
      <c r="P24" s="36">
        <f>IFERROR(Calculations!$P14/12,"")</f>
        <v>4927.5</v>
      </c>
      <c r="Q24" s="36">
        <f>IFERROR(Calculations!$P14/12,"")</f>
        <v>4927.5</v>
      </c>
      <c r="R24" s="36">
        <f>IFERROR(Calculations!$P14/12,"")</f>
        <v>4927.5</v>
      </c>
      <c r="S24" s="36">
        <f>IFERROR(Calculations!$P14/12,"")</f>
        <v>4927.5</v>
      </c>
      <c r="T24" s="36">
        <f>IFERROR(Calculations!$P14/12,"")</f>
        <v>4927.5</v>
      </c>
      <c r="U24" s="36">
        <f>IFERROR(Calculations!$P14/12,"")</f>
        <v>4927.5</v>
      </c>
      <c r="V24" s="36">
        <f>IFERROR(Calculations!$P14/12,"")</f>
        <v>4927.5</v>
      </c>
      <c r="W24" s="36">
        <f>IFERROR(Calculations!$P14/12,"")</f>
        <v>4927.5</v>
      </c>
      <c r="X24" s="36">
        <f>IFERROR(Calculations!$P14/12,"")</f>
        <v>4927.5</v>
      </c>
      <c r="Y24" s="36">
        <f>IFERROR(Calculations!$P14/12,"")</f>
        <v>4927.5</v>
      </c>
      <c r="Z24" s="36">
        <f>SUMIF($B$13:$Y$13,"Yes",B24:Y24)</f>
        <v>64057.5</v>
      </c>
      <c r="AA24" s="36">
        <f>SUM(B24:M24)</f>
        <v>59130</v>
      </c>
      <c r="AB24" s="46">
        <f>SUM(B24:Y24)</f>
        <v>118260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1560000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250927.5</v>
      </c>
      <c r="C30" s="19">
        <f>SUM(C18:C29)</f>
        <v>124927.5</v>
      </c>
      <c r="D30" s="19">
        <f>SUM(D18:D29)</f>
        <v>124927.5</v>
      </c>
      <c r="E30" s="19">
        <f>SUM(E18:E29)</f>
        <v>124927.5</v>
      </c>
      <c r="F30" s="19">
        <f>SUM(F18:F29)</f>
        <v>124927.5</v>
      </c>
      <c r="G30" s="19">
        <f>SUM(G18:G29)</f>
        <v>124927.5</v>
      </c>
      <c r="H30" s="19">
        <f>SUM(H18:H29)</f>
        <v>250927.5</v>
      </c>
      <c r="I30" s="19">
        <f>SUM(I18:I29)</f>
        <v>124927.5</v>
      </c>
      <c r="J30" s="19">
        <f>SUM(J18:J29)</f>
        <v>124927.5</v>
      </c>
      <c r="K30" s="19">
        <f>SUM(K18:K29)</f>
        <v>124927.5</v>
      </c>
      <c r="L30" s="19">
        <f>SUM(L18:L29)</f>
        <v>124927.5</v>
      </c>
      <c r="M30" s="19">
        <f>SUM(M18:M29)</f>
        <v>124927.5</v>
      </c>
      <c r="N30" s="19">
        <f>SUM(N18:N29)</f>
        <v>250927.5</v>
      </c>
      <c r="O30" s="19">
        <f>SUM(O18:O29)</f>
        <v>124927.5</v>
      </c>
      <c r="P30" s="19">
        <f>SUM(P18:P29)</f>
        <v>124927.5</v>
      </c>
      <c r="Q30" s="19">
        <f>SUM(Q18:Q29)</f>
        <v>124927.5</v>
      </c>
      <c r="R30" s="19">
        <f>SUM(R18:R29)</f>
        <v>124927.5</v>
      </c>
      <c r="S30" s="19">
        <f>SUM(S18:S29)</f>
        <v>124927.5</v>
      </c>
      <c r="T30" s="19">
        <f>SUM(T18:T29)</f>
        <v>250927.5</v>
      </c>
      <c r="U30" s="19">
        <f>SUM(U18:U29)</f>
        <v>124927.5</v>
      </c>
      <c r="V30" s="19">
        <f>SUM(V18:V29)</f>
        <v>124927.5</v>
      </c>
      <c r="W30" s="19">
        <f>SUM(W18:W29)</f>
        <v>124927.5</v>
      </c>
      <c r="X30" s="19">
        <f>SUM(X18:X29)</f>
        <v>124927.5</v>
      </c>
      <c r="Y30" s="19">
        <f>SUM(Y18:Y29)</f>
        <v>124927.5</v>
      </c>
      <c r="Z30" s="19">
        <f>SUMIF($B$13:$Y$13,"Yes",B30:Y30)</f>
        <v>2002057.5</v>
      </c>
      <c r="AA30" s="19">
        <f>SUM(B30:M30)</f>
        <v>1751130</v>
      </c>
      <c r="AB30" s="19">
        <f>SUM(B30:Y30)</f>
        <v>3502260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4000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Sweet potatoes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606.0000000000001</v>
      </c>
      <c r="D42" s="36">
        <f>P42</f>
        <v>11000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11000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606.0000000000001</v>
      </c>
      <c r="P42" s="36">
        <f>SUM(P43:P47)</f>
        <v>11000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11000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22606</v>
      </c>
      <c r="AA42" s="36">
        <f>SUM(B42:M42)</f>
        <v>22606</v>
      </c>
      <c r="AB42" s="36">
        <f>SUM(B42:Y42)</f>
        <v>45212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606.0000000000001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606.0000000000001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606.0000000000001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Sweet potatoes</v>
      </c>
      <c r="B45" s="36">
        <f>N45</f>
        <v>0</v>
      </c>
      <c r="C45" s="36">
        <f>O45</f>
        <v>0</v>
      </c>
      <c r="D45" s="36">
        <f>P45</f>
        <v>11000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11000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11000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11000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22000</v>
      </c>
      <c r="AA45" s="36">
        <f>SUM(B45:M45)</f>
        <v>22000</v>
      </c>
      <c r="AB45" s="36">
        <f>SUM(B45:Y45)</f>
        <v>44000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Sweet potatoes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Sweet potatoes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Sweet potatoes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Sweet potatoes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60000</v>
      </c>
      <c r="C79" s="46">
        <f>Inputs!$B$31</f>
        <v>60000</v>
      </c>
      <c r="D79" s="46">
        <f>Inputs!$B$31</f>
        <v>60000</v>
      </c>
      <c r="E79" s="46">
        <f>Inputs!$B$31</f>
        <v>60000</v>
      </c>
      <c r="F79" s="46">
        <f>Inputs!$B$31</f>
        <v>60000</v>
      </c>
      <c r="G79" s="46">
        <f>Inputs!$B$31</f>
        <v>60000</v>
      </c>
      <c r="H79" s="46">
        <f>Inputs!$B$31</f>
        <v>60000</v>
      </c>
      <c r="I79" s="46">
        <f>Inputs!$B$31</f>
        <v>60000</v>
      </c>
      <c r="J79" s="46">
        <f>Inputs!$B$31</f>
        <v>60000</v>
      </c>
      <c r="K79" s="46">
        <f>Inputs!$B$31</f>
        <v>60000</v>
      </c>
      <c r="L79" s="46">
        <f>Inputs!$B$31</f>
        <v>60000</v>
      </c>
      <c r="M79" s="46">
        <f>Inputs!$B$31</f>
        <v>60000</v>
      </c>
      <c r="N79" s="46">
        <f>Inputs!$B$31</f>
        <v>60000</v>
      </c>
      <c r="O79" s="46">
        <f>Inputs!$B$31</f>
        <v>60000</v>
      </c>
      <c r="P79" s="46">
        <f>Inputs!$B$31</f>
        <v>60000</v>
      </c>
      <c r="Q79" s="46">
        <f>Inputs!$B$31</f>
        <v>60000</v>
      </c>
      <c r="R79" s="46">
        <f>Inputs!$B$31</f>
        <v>60000</v>
      </c>
      <c r="S79" s="46">
        <f>Inputs!$B$31</f>
        <v>60000</v>
      </c>
      <c r="T79" s="46">
        <f>Inputs!$B$31</f>
        <v>60000</v>
      </c>
      <c r="U79" s="46">
        <f>Inputs!$B$31</f>
        <v>60000</v>
      </c>
      <c r="V79" s="46">
        <f>Inputs!$B$31</f>
        <v>60000</v>
      </c>
      <c r="W79" s="46">
        <f>Inputs!$B$31</f>
        <v>60000</v>
      </c>
      <c r="X79" s="46">
        <f>Inputs!$B$31</f>
        <v>60000</v>
      </c>
      <c r="Y79" s="46">
        <f>Inputs!$B$31</f>
        <v>60000</v>
      </c>
      <c r="Z79" s="46">
        <f>SUMIF($B$13:$Y$13,"Yes",B79:Y79)</f>
        <v>780000</v>
      </c>
      <c r="AA79" s="46">
        <f>SUM(B79:M79)</f>
        <v>720000</v>
      </c>
      <c r="AB79" s="46">
        <f>SUM(B79:Y79)</f>
        <v>1440000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33017.46666666667</v>
      </c>
      <c r="C81" s="46">
        <f>(SUM($AA$18:$AA$29)-SUM($AA$36,$AA$42,$AA$48,$AA$54,$AA$60,$AA$66,$AA$72:$AA$79))*Parameters!$B$37/12</f>
        <v>33017.46666666667</v>
      </c>
      <c r="D81" s="46">
        <f>(SUM($AA$18:$AA$29)-SUM($AA$36,$AA$42,$AA$48,$AA$54,$AA$60,$AA$66,$AA$72:$AA$79))*Parameters!$B$37/12</f>
        <v>33017.46666666667</v>
      </c>
      <c r="E81" s="46">
        <f>(SUM($AA$18:$AA$29)-SUM($AA$36,$AA$42,$AA$48,$AA$54,$AA$60,$AA$66,$AA$72:$AA$79))*Parameters!$B$37/12</f>
        <v>33017.46666666667</v>
      </c>
      <c r="F81" s="46">
        <f>(SUM($AA$18:$AA$29)-SUM($AA$36,$AA$42,$AA$48,$AA$54,$AA$60,$AA$66,$AA$72:$AA$79))*Parameters!$B$37/12</f>
        <v>33017.46666666667</v>
      </c>
      <c r="G81" s="46">
        <f>(SUM($AA$18:$AA$29)-SUM($AA$36,$AA$42,$AA$48,$AA$54,$AA$60,$AA$66,$AA$72:$AA$79))*Parameters!$B$37/12</f>
        <v>33017.46666666667</v>
      </c>
      <c r="H81" s="46">
        <f>(SUM($AA$18:$AA$29)-SUM($AA$36,$AA$42,$AA$48,$AA$54,$AA$60,$AA$66,$AA$72:$AA$79))*Parameters!$B$37/12</f>
        <v>33017.46666666667</v>
      </c>
      <c r="I81" s="46">
        <f>(SUM($AA$18:$AA$29)-SUM($AA$36,$AA$42,$AA$48,$AA$54,$AA$60,$AA$66,$AA$72:$AA$79))*Parameters!$B$37/12</f>
        <v>33017.46666666667</v>
      </c>
      <c r="J81" s="46">
        <f>(SUM($AA$18:$AA$29)-SUM($AA$36,$AA$42,$AA$48,$AA$54,$AA$60,$AA$66,$AA$72:$AA$79))*Parameters!$B$37/12</f>
        <v>33017.46666666667</v>
      </c>
      <c r="K81" s="46">
        <f>(SUM($AA$18:$AA$29)-SUM($AA$36,$AA$42,$AA$48,$AA$54,$AA$60,$AA$66,$AA$72:$AA$79))*Parameters!$B$37/12</f>
        <v>33017.46666666667</v>
      </c>
      <c r="L81" s="46">
        <f>(SUM($AA$18:$AA$29)-SUM($AA$36,$AA$42,$AA$48,$AA$54,$AA$60,$AA$66,$AA$72:$AA$79))*Parameters!$B$37/12</f>
        <v>33017.46666666667</v>
      </c>
      <c r="M81" s="46">
        <f>(SUM($AA$18:$AA$29)-SUM($AA$36,$AA$42,$AA$48,$AA$54,$AA$60,$AA$66,$AA$72:$AA$79))*Parameters!$B$37/12</f>
        <v>33017.46666666667</v>
      </c>
      <c r="N81" s="46">
        <f>(SUM($AA$18:$AA$29)-SUM($AA$36,$AA$42,$AA$48,$AA$54,$AA$60,$AA$66,$AA$72:$AA$79))*Parameters!$B$37/12</f>
        <v>33017.46666666667</v>
      </c>
      <c r="O81" s="46">
        <f>(SUM($AA$18:$AA$29)-SUM($AA$36,$AA$42,$AA$48,$AA$54,$AA$60,$AA$66,$AA$72:$AA$79))*Parameters!$B$37/12</f>
        <v>33017.46666666667</v>
      </c>
      <c r="P81" s="46">
        <f>(SUM($AA$18:$AA$29)-SUM($AA$36,$AA$42,$AA$48,$AA$54,$AA$60,$AA$66,$AA$72:$AA$79))*Parameters!$B$37/12</f>
        <v>33017.46666666667</v>
      </c>
      <c r="Q81" s="46">
        <f>(SUM($AA$18:$AA$29)-SUM($AA$36,$AA$42,$AA$48,$AA$54,$AA$60,$AA$66,$AA$72:$AA$79))*Parameters!$B$37/12</f>
        <v>33017.46666666667</v>
      </c>
      <c r="R81" s="46">
        <f>(SUM($AA$18:$AA$29)-SUM($AA$36,$AA$42,$AA$48,$AA$54,$AA$60,$AA$66,$AA$72:$AA$79))*Parameters!$B$37/12</f>
        <v>33017.46666666667</v>
      </c>
      <c r="S81" s="46">
        <f>(SUM($AA$18:$AA$29)-SUM($AA$36,$AA$42,$AA$48,$AA$54,$AA$60,$AA$66,$AA$72:$AA$79))*Parameters!$B$37/12</f>
        <v>33017.46666666667</v>
      </c>
      <c r="T81" s="46">
        <f>(SUM($AA$18:$AA$29)-SUM($AA$36,$AA$42,$AA$48,$AA$54,$AA$60,$AA$66,$AA$72:$AA$79))*Parameters!$B$37/12</f>
        <v>33017.46666666667</v>
      </c>
      <c r="U81" s="46">
        <f>(SUM($AA$18:$AA$29)-SUM($AA$36,$AA$42,$AA$48,$AA$54,$AA$60,$AA$66,$AA$72:$AA$79))*Parameters!$B$37/12</f>
        <v>33017.46666666667</v>
      </c>
      <c r="V81" s="46">
        <f>(SUM($AA$18:$AA$29)-SUM($AA$36,$AA$42,$AA$48,$AA$54,$AA$60,$AA$66,$AA$72:$AA$79))*Parameters!$B$37/12</f>
        <v>33017.46666666667</v>
      </c>
      <c r="W81" s="46">
        <f>(SUM($AA$18:$AA$29)-SUM($AA$36,$AA$42,$AA$48,$AA$54,$AA$60,$AA$66,$AA$72:$AA$79))*Parameters!$B$37/12</f>
        <v>33017.46666666667</v>
      </c>
      <c r="X81" s="46">
        <f>(SUM($AA$18:$AA$29)-SUM($AA$36,$AA$42,$AA$48,$AA$54,$AA$60,$AA$66,$AA$72:$AA$79))*Parameters!$B$37/12</f>
        <v>33017.46666666667</v>
      </c>
      <c r="Y81" s="46">
        <f>(SUM($AA$18:$AA$29)-SUM($AA$36,$AA$42,$AA$48,$AA$54,$AA$60,$AA$66,$AA$72:$AA$79))*Parameters!$B$37/12</f>
        <v>33017.46666666667</v>
      </c>
      <c r="Z81" s="46">
        <f>SUMIF($B$13:$Y$13,"Yes",B81:Y81)</f>
        <v>429227.0666666667</v>
      </c>
      <c r="AA81" s="46">
        <f>SUM(B81:M81)</f>
        <v>396209.6</v>
      </c>
      <c r="AB81" s="46">
        <f>SUM(B81:Y81)</f>
        <v>792419.2000000001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94184.13333333333</v>
      </c>
      <c r="C88" s="19">
        <f>SUM(C72:C82,C66,C60,C54,C48,C42,C36)</f>
        <v>98790.13333333333</v>
      </c>
      <c r="D88" s="19">
        <f>SUM(D72:D82,D66,D60,D54,D48,D42,D36)</f>
        <v>105184.1333333333</v>
      </c>
      <c r="E88" s="19">
        <f>SUM(E72:E82,E66,E60,E54,E48,E42,E36)</f>
        <v>94184.13333333333</v>
      </c>
      <c r="F88" s="19">
        <f>SUM(F72:F82,F66,F60,F54,F48,F42,F36)</f>
        <v>94184.13333333333</v>
      </c>
      <c r="G88" s="19">
        <f>SUM(G72:G82,G66,G60,G54,G48,G42,G36)</f>
        <v>94184.13333333333</v>
      </c>
      <c r="H88" s="19">
        <f>SUM(H72:H82,H66,H60,H54,H48,H42,H36)</f>
        <v>94184.13333333333</v>
      </c>
      <c r="I88" s="19">
        <f>SUM(I72:I82,I66,I60,I54,I48,I42,I36)</f>
        <v>94184.13333333333</v>
      </c>
      <c r="J88" s="19">
        <f>SUM(J72:J82,J66,J60,J54,J48,J42,J36)</f>
        <v>105184.1333333333</v>
      </c>
      <c r="K88" s="19">
        <f>SUM(K72:K82,K66,K60,K54,K48,K42,K36)</f>
        <v>94184.13333333333</v>
      </c>
      <c r="L88" s="19">
        <f>SUM(L72:L82,L66,L60,L54,L48,L42,L36)</f>
        <v>94184.13333333333</v>
      </c>
      <c r="M88" s="19">
        <f>SUM(M72:M82,M66,M60,M54,M48,M42,M36)</f>
        <v>94184.13333333333</v>
      </c>
      <c r="N88" s="19">
        <f>SUM(N72:N82,N66,N60,N54,N48,N42,N36)</f>
        <v>94184.13333333333</v>
      </c>
      <c r="O88" s="19">
        <f>SUM(O72:O82,O66,O60,O54,O48,O42,O36)</f>
        <v>98790.13333333333</v>
      </c>
      <c r="P88" s="19">
        <f>SUM(P72:P82,P66,P60,P54,P48,P42,P36)</f>
        <v>105184.1333333333</v>
      </c>
      <c r="Q88" s="19">
        <f>SUM(Q72:Q82,Q66,Q60,Q54,Q48,Q42,Q36)</f>
        <v>94184.13333333333</v>
      </c>
      <c r="R88" s="19">
        <f>SUM(R72:R82,R66,R60,R54,R48,R42,R36)</f>
        <v>94184.13333333333</v>
      </c>
      <c r="S88" s="19">
        <f>SUM(S72:S82,S66,S60,S54,S48,S42,S36)</f>
        <v>94184.13333333333</v>
      </c>
      <c r="T88" s="19">
        <f>SUM(T72:T82,T66,T60,T54,T48,T42,T36)</f>
        <v>94184.13333333333</v>
      </c>
      <c r="U88" s="19">
        <f>SUM(U72:U82,U66,U60,U54,U48,U42,U36)</f>
        <v>94184.13333333333</v>
      </c>
      <c r="V88" s="19">
        <f>SUM(V72:V82,V66,V60,V54,V48,V42,V36)</f>
        <v>105184.1333333333</v>
      </c>
      <c r="W88" s="19">
        <f>SUM(W72:W82,W66,W60,W54,W48,W42,W36)</f>
        <v>94184.13333333333</v>
      </c>
      <c r="X88" s="19">
        <f>SUM(X72:X82,X66,X60,X54,X48,X42,X36)</f>
        <v>94184.13333333333</v>
      </c>
      <c r="Y88" s="19">
        <f>SUM(Y72:Y82,Y66,Y60,Y54,Y48,Y42,Y36)</f>
        <v>94184.13333333333</v>
      </c>
      <c r="Z88" s="19">
        <f>SUMIF($B$13:$Y$13,"Yes",B88:Y88)</f>
        <v>1250999.733333333</v>
      </c>
      <c r="AA88" s="19">
        <f>SUM(B88:M88)</f>
        <v>1156815.6</v>
      </c>
      <c r="AB88" s="19">
        <f>SUM(B88:Y88)</f>
        <v>2313631.2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900000</v>
      </c>
    </row>
    <row r="99" spans="1:30">
      <c r="A99" t="s">
        <v>65</v>
      </c>
      <c r="B99" s="36">
        <f>Inputs!B46</f>
        <v>390000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2852000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136000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10</v>
      </c>
      <c r="N7" s="153">
        <v>2</v>
      </c>
      <c r="P7" s="41"/>
    </row>
    <row r="8" spans="1:48">
      <c r="A8" s="143" t="s">
        <v>94</v>
      </c>
      <c r="B8" s="16"/>
      <c r="C8" s="143">
        <v>2</v>
      </c>
      <c r="D8" s="16"/>
      <c r="E8" s="147" t="s">
        <v>95</v>
      </c>
      <c r="F8" s="149" t="s">
        <v>92</v>
      </c>
      <c r="G8" s="147"/>
      <c r="H8" s="147" t="s">
        <v>92</v>
      </c>
      <c r="I8" s="147" t="s">
        <v>92</v>
      </c>
      <c r="J8" s="148" t="s">
        <v>96</v>
      </c>
      <c r="K8" s="138"/>
      <c r="L8" s="16"/>
      <c r="M8" s="165">
        <v>10</v>
      </c>
      <c r="N8" s="154">
        <v>0</v>
      </c>
    </row>
    <row r="9" spans="1:48">
      <c r="A9" s="143" t="s">
        <v>97</v>
      </c>
      <c r="B9" s="16"/>
      <c r="C9" s="143">
        <v>1</v>
      </c>
      <c r="D9" s="16"/>
      <c r="E9" s="147" t="s">
        <v>98</v>
      </c>
      <c r="F9" s="149" t="s">
        <v>92</v>
      </c>
      <c r="G9" s="147"/>
      <c r="H9" s="147" t="s">
        <v>92</v>
      </c>
      <c r="I9" s="147" t="s">
        <v>92</v>
      </c>
      <c r="J9" s="148" t="s">
        <v>99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114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100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120000</v>
      </c>
    </row>
    <row r="31" spans="1:48">
      <c r="A31" s="5" t="s">
        <v>121</v>
      </c>
      <c r="B31" s="158">
        <v>60000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129</v>
      </c>
    </row>
    <row r="41" spans="1:48">
      <c r="A41" s="55" t="s">
        <v>130</v>
      </c>
      <c r="B41" s="140"/>
    </row>
    <row r="42" spans="1:48">
      <c r="A42" s="55" t="s">
        <v>131</v>
      </c>
      <c r="B42" s="139"/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129</v>
      </c>
    </row>
    <row r="45" spans="1:48">
      <c r="A45" s="56" t="s">
        <v>135</v>
      </c>
      <c r="B45" s="161">
        <v>900000</v>
      </c>
    </row>
    <row r="46" spans="1:48" customHeight="1" ht="30">
      <c r="A46" s="57" t="s">
        <v>136</v>
      </c>
      <c r="B46" s="161">
        <v>390000</v>
      </c>
    </row>
    <row r="47" spans="1:48" customHeight="1" ht="30">
      <c r="A47" s="57" t="s">
        <v>137</v>
      </c>
      <c r="B47" s="161">
        <v>250000</v>
      </c>
    </row>
    <row r="48" spans="1:48" customHeight="1" ht="30">
      <c r="A48" s="57" t="s">
        <v>138</v>
      </c>
      <c r="B48" s="161">
        <v>1200000</v>
      </c>
    </row>
    <row r="49" spans="1:48" customHeight="1" ht="30">
      <c r="A49" s="57" t="s">
        <v>139</v>
      </c>
      <c r="B49" s="161">
        <v>12000</v>
      </c>
    </row>
    <row r="50" spans="1:48">
      <c r="A50" s="43"/>
      <c r="B50" s="36"/>
    </row>
    <row r="51" spans="1:48">
      <c r="A51" s="58" t="s">
        <v>140</v>
      </c>
      <c r="B51" s="161">
        <v>36000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149</v>
      </c>
      <c r="C65" s="10" t="s">
        <v>150</v>
      </c>
    </row>
    <row r="66" spans="1:48">
      <c r="A66" s="142" t="s">
        <v>151</v>
      </c>
      <c r="B66" s="159">
        <v>420000</v>
      </c>
      <c r="C66" s="163">
        <v>180000</v>
      </c>
      <c r="D66" s="49">
        <f>INDEX(Parameters!$D$79:$D$90,MATCH(Inputs!A66,Parameters!$C$79:$C$90,0))</f>
        <v>1</v>
      </c>
    </row>
    <row r="67" spans="1:48">
      <c r="A67" s="143" t="s">
        <v>93</v>
      </c>
      <c r="B67" s="157">
        <v>350000</v>
      </c>
      <c r="C67" s="165">
        <v>150000</v>
      </c>
      <c r="D67" s="49">
        <f>INDEX(Parameters!$D$79:$D$90,MATCH(Inputs!A67,Parameters!$C$79:$C$90,0))</f>
        <v>2</v>
      </c>
    </row>
    <row r="68" spans="1:48">
      <c r="A68" s="143" t="s">
        <v>99</v>
      </c>
      <c r="B68" s="157">
        <v>320000</v>
      </c>
      <c r="C68" s="165">
        <v>180000</v>
      </c>
      <c r="D68" s="49">
        <f>INDEX(Parameters!$D$79:$D$90,MATCH(Inputs!A68,Parameters!$C$79:$C$90,0))</f>
        <v>3</v>
      </c>
    </row>
    <row r="69" spans="1:48">
      <c r="A69" s="143" t="s">
        <v>96</v>
      </c>
      <c r="B69" s="157">
        <v>150000</v>
      </c>
      <c r="C69" s="165">
        <v>45000</v>
      </c>
      <c r="D69" s="49">
        <f>INDEX(Parameters!$D$79:$D$90,MATCH(Inputs!A69,Parameters!$C$79:$C$90,0))</f>
        <v>4</v>
      </c>
    </row>
    <row r="70" spans="1:48">
      <c r="A70" s="143" t="s">
        <v>152</v>
      </c>
      <c r="B70" s="157">
        <v>280000</v>
      </c>
      <c r="C70" s="165">
        <v>120000</v>
      </c>
      <c r="D70" s="49">
        <f>INDEX(Parameters!$D$79:$D$90,MATCH(Inputs!A70,Parameters!$C$79:$C$90,0))</f>
        <v>5</v>
      </c>
    </row>
    <row r="71" spans="1:48">
      <c r="A71" s="144" t="s">
        <v>153</v>
      </c>
      <c r="B71" s="158">
        <v>350000</v>
      </c>
      <c r="C71" s="167">
        <v>90000</v>
      </c>
      <c r="D71" s="49">
        <f>INDEX(Parameters!$D$79:$D$90,MATCH(Inputs!A71,Parameters!$C$79:$C$90,0))</f>
        <v>6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22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38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43132</v>
      </c>
      <c r="D4" s="38">
        <f>IFERROR(DATE(YEAR(B4),MONTH(B4)+T4,DAY(B4)),"")</f>
        <v>43132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43191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Sweet potatoes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43160</v>
      </c>
      <c r="C6" s="39">
        <f>IFERROR(DATE(YEAR(B6),MONTH(B6)+ROUND(T6/2,0),DAY(B6)),B6)</f>
        <v>43221</v>
      </c>
      <c r="D6" s="39">
        <f>IFERROR(DATE(YEAR(B6),MONTH(B6)+T6,DAY(B6)),"")</f>
        <v>43282</v>
      </c>
      <c r="E6" s="39">
        <f>IFERROR(IF($S6=0,"",IF($S6=2,DATE(YEAR(B6),MONTH(B6)+6,DAY(B6)),IF($S6=1,B6,""))),"")</f>
        <v>43344</v>
      </c>
      <c r="F6" s="39">
        <f>IFERROR(IF($S6=0,"",IF($S6=2,DATE(YEAR(C6),MONTH(C6)+6,DAY(C6)),IF($S6=1,C6,""))),"")</f>
        <v>43405</v>
      </c>
      <c r="G6" s="39">
        <f>IFERROR(IF($S6=0,"",IF($S6=2,DATE(YEAR(D6),MONTH(D6)+6,DAY(D6)),IF($S6=1,D6,""))),"")</f>
        <v>43466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4500</v>
      </c>
      <c r="M6" s="30">
        <f>L6*H6</f>
        <v>4500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28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252000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11000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3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59130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43152</v>
      </c>
      <c r="C33" s="27">
        <f>IF(B33&lt;&gt;"",IF(COUNT($A$33:A33)&lt;=$G$39,0,$G$41)+IF(COUNT($A$33:A33)&lt;=$G$40,0,$G$42),0)</f>
        <v>11500</v>
      </c>
      <c r="D33" s="170">
        <f>IFERROR(DATE(YEAR(B33),MONTH(B33),1)," ")</f>
        <v>43132</v>
      </c>
      <c r="F33" t="s">
        <v>159</v>
      </c>
      <c r="G33" s="128">
        <f>IF(Inputs!B79="","",DATE(YEAR(Inputs!B79),MONTH(Inputs!B79),DAY(Inputs!B79)))</f>
        <v>43118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43180</v>
      </c>
      <c r="C34" s="27">
        <f>IF(B34&lt;&gt;"",IF(COUNT($A$33:A34)&lt;=$G$39,0,$G$41)+IF(COUNT($A$33:A34)&lt;=$G$40,0,$G$42),0)</f>
        <v>11500</v>
      </c>
      <c r="D34" s="170">
        <f>IFERROR(DATE(YEAR(B34),MONTH(B34),1)," ")</f>
        <v>43160</v>
      </c>
      <c r="F34" t="s">
        <v>161</v>
      </c>
      <c r="G34" s="128">
        <f>IF(Inputs!B80="","",DATE(YEAR(Inputs!B80),MONTH(Inputs!B80),DAY(Inputs!B80)))</f>
        <v>43152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43211</v>
      </c>
      <c r="C35" s="27">
        <f>IF(B35&lt;&gt;"",IF(COUNT($A$33:A35)&lt;=$G$39,0,$G$41)+IF(COUNT($A$33:A35)&lt;=$G$40,0,$G$42),0)</f>
        <v>11500</v>
      </c>
      <c r="D35" s="170">
        <f>IFERROR(DATE(YEAR(B35),MONTH(B35),1)," ")</f>
        <v>43191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43241</v>
      </c>
      <c r="C36" s="27">
        <f>IF(B36&lt;&gt;"",IF(COUNT($A$33:A36)&lt;=$G$39,0,$G$41)+IF(COUNT($A$33:A36)&lt;=$G$40,0,$G$42),0)</f>
        <v>11500</v>
      </c>
      <c r="D36" s="170">
        <f>IFERROR(DATE(YEAR(B36),MONTH(B36),1)," ")</f>
        <v>43221</v>
      </c>
      <c r="F36" t="s">
        <v>164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43272</v>
      </c>
      <c r="C37" s="27">
        <f>IF(B37&lt;&gt;"",IF(COUNT($A$33:A37)&lt;=$G$39,0,$G$41)+IF(COUNT($A$33:A37)&lt;=$G$40,0,$G$42),0)</f>
        <v>11500</v>
      </c>
      <c r="D37" s="170">
        <f>IFERROR(DATE(YEAR(B37),MONTH(B37),1)," ")</f>
        <v>43252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43302</v>
      </c>
      <c r="C38" s="27">
        <f>IF(B38&lt;&gt;"",IF(COUNT($A$33:A38)&lt;=$G$39,0,$G$41)+IF(COUNT($A$33:A38)&lt;=$G$40,0,$G$42),0)</f>
        <v>11500</v>
      </c>
      <c r="D38" s="170">
        <f>IFERROR(DATE(YEAR(B38),MONTH(B38),1)," ")</f>
        <v>43282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43333</v>
      </c>
      <c r="C39" s="27">
        <f>IF(B39&lt;&gt;"",IF(COUNT($A$33:A39)&lt;=$G$39,0,$G$41)+IF(COUNT($A$33:A39)&lt;=$G$40,0,$G$42),0)</f>
        <v>11500</v>
      </c>
      <c r="D39" s="170">
        <f>IFERROR(DATE(YEAR(B39),MONTH(B39),1)," ")</f>
        <v>43313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43364</v>
      </c>
      <c r="C40" s="27">
        <f>IF(B40&lt;&gt;"",IF(COUNT($A$33:A40)&lt;=$G$39,0,$G$41)+IF(COUNT($A$33:A40)&lt;=$G$40,0,$G$42),0)</f>
        <v>11500</v>
      </c>
      <c r="D40" s="170">
        <f>IFERROR(DATE(YEAR(B40),MONTH(B40),1)," ")</f>
        <v>43344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43394</v>
      </c>
      <c r="C41" s="27">
        <f>IF(B41&lt;&gt;"",IF(COUNT($A$33:A41)&lt;=$G$39,0,$G$41)+IF(COUNT($A$33:A41)&lt;=$G$40,0,$G$42),0)</f>
        <v>11500</v>
      </c>
      <c r="D41" s="170">
        <f>IFERROR(DATE(YEAR(B41),MONTH(B41),1)," ")</f>
        <v>43374</v>
      </c>
      <c r="F41" t="s">
        <v>227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43425</v>
      </c>
      <c r="C42" s="27">
        <f>IF(B42&lt;&gt;"",IF(COUNT($A$33:A42)&lt;=$G$39,0,$G$41)+IF(COUNT($A$33:A42)&lt;=$G$40,0,$G$42),0)</f>
        <v>11500</v>
      </c>
      <c r="D42" s="170">
        <f>IFERROR(DATE(YEAR(B42),MONTH(B42),1)," ")</f>
        <v>43405</v>
      </c>
      <c r="F42" t="s">
        <v>228</v>
      </c>
      <c r="G42" s="73">
        <f>IFERROR(G35*G36*IF(G37="Monthly",G38/12,IF(G37="Fortnightly",G38/(365/14),G38/(365/28)))/(G38-G40),"")</f>
        <v>3166.666666666667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43455</v>
      </c>
      <c r="C43" s="27">
        <f>IF(B43&lt;&gt;"",IF(COUNT($A$33:A43)&lt;=$G$39,0,$G$41)+IF(COUNT($A$33:A43)&lt;=$G$40,0,$G$42),0)</f>
        <v>11500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43486</v>
      </c>
      <c r="C44" s="27">
        <f>IF(B44&lt;&gt;"",IF(COUNT($A$33:A44)&lt;=$G$39,0,$G$41)+IF(COUNT($A$33:A44)&lt;=$G$40,0,$G$42),0)</f>
        <v>11500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97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201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101</v>
      </c>
      <c r="B41" s="191" t="s">
        <v>92</v>
      </c>
      <c r="C41" s="191" t="s">
        <v>129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313</v>
      </c>
      <c r="I52" s="12" t="s">
        <v>133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229</v>
      </c>
      <c r="E53" s="10" t="s">
        <v>188</v>
      </c>
      <c r="F53" s="10" t="s">
        <v>248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129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129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129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129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129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129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129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129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129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129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129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166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225</v>
      </c>
      <c r="J76" s="11" t="s">
        <v>346</v>
      </c>
      <c r="K76" s="11" t="s">
        <v>178</v>
      </c>
      <c r="AJ76" s="12"/>
    </row>
    <row r="77" spans="1:36">
      <c r="A77" t="s">
        <v>129</v>
      </c>
      <c r="B77" s="176">
        <v>0</v>
      </c>
      <c r="C77" s="12" t="s">
        <v>347</v>
      </c>
      <c r="E77" s="12" t="s">
        <v>92</v>
      </c>
      <c r="F77" s="12" t="s">
        <v>92</v>
      </c>
      <c r="G77" s="12" t="s">
        <v>114</v>
      </c>
      <c r="H77" s="12" t="s">
        <v>313</v>
      </c>
      <c r="I77" s="12" t="s">
        <v>348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349</v>
      </c>
      <c r="D78" s="133"/>
      <c r="E78" s="12" t="s">
        <v>91</v>
      </c>
      <c r="F78" s="12" t="s">
        <v>350</v>
      </c>
      <c r="G78" s="12" t="s">
        <v>351</v>
      </c>
      <c r="H78" s="12" t="s">
        <v>133</v>
      </c>
      <c r="I78" s="12" t="s">
        <v>352</v>
      </c>
      <c r="J78" s="70" t="s">
        <v>95</v>
      </c>
      <c r="K78" s="12" t="s">
        <v>92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166</v>
      </c>
      <c r="J79" s="70" t="s">
        <v>356</v>
      </c>
      <c r="K79" s="12" t="s">
        <v>92</v>
      </c>
      <c r="AJ79" s="12"/>
    </row>
    <row r="80" spans="1:36">
      <c r="B80" s="176">
        <v>20</v>
      </c>
      <c r="C80" s="12" t="s">
        <v>93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129</v>
      </c>
      <c r="AJ80" s="12"/>
    </row>
    <row r="81" spans="1:36">
      <c r="B81" s="176">
        <v>30</v>
      </c>
      <c r="C81" s="12" t="s">
        <v>99</v>
      </c>
      <c r="D81" s="12">
        <f>D80+1</f>
        <v>3</v>
      </c>
      <c r="J81" s="70" t="s">
        <v>98</v>
      </c>
      <c r="K81" s="12" t="s">
        <v>129</v>
      </c>
    </row>
    <row r="82" spans="1:36">
      <c r="B82" s="176">
        <v>40</v>
      </c>
      <c r="C82" s="12" t="s">
        <v>96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