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<sst xmlns="http://schemas.openxmlformats.org/spreadsheetml/2006/main" uniqueCount="368">
  <si>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</si>
  <si>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</si>
  <si>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</si>
  <si>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</si>
  <si>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</si>
  <si>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</si>
  <si>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</si>
  <si>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</si>
  <si>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</si>
  <si>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</si>
  <si>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</si>
  <si>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</si>
  <si>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</si>
  <si>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</si>
  <si>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</si>
  <si>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</si>
  <si>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</si>
  <si>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</si>
  <si>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</si>
  <si>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</si>
  <si>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</si>
  <si>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</si>
  <si>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</si>
  <si>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</si>
  <si>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</si>
  <si>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</si>
  <si>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</si>
  <si>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</si>
  <si>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</si>
  <si>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</si>
  <si>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</si>
  <si>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</si>
  <si>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</si>
  <si>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</si>
  <si>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</si>
  <si>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</si>
  <si>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</si>
  <si>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</si>
  <si>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</si>
  <si>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</si>
  <si>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</si>
  <si>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</si>
  <si>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</si>
  <si>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</si>
  <si>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</si>
  <si>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</si>
  <si>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</si>
  <si>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</si>
  <si>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</si>
  <si>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</si>
  <si>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</si>
  <si>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</si>
  <si>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</si>
  <si>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</si>
  <si>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</si>
  <si>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</si>
  <si>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</si>
  <si>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</si>
  <si>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</si>
  <si>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</si>
  <si>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</si>
  <si>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</si>
  <si>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</si>
  <si>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</si>
  <si>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</si>
  <si>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</si>
  <si>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</si>
  <si>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</si>
  <si>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</si>
  <si>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</si>
  <si>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</si>
  <si>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</si>
  <si>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</si>
  <si>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</si>
  <si>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</si>
  <si>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</si>
  <si>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</si>
  <si>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</si>
  <si>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</si>
  <si>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</si>
  <si>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</si>
  <si>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</si>
  <si>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</si>
  <si>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</si>
  <si>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</si>
  <si>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</si>
  <si>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</si>
  <si>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</si>
  <si>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</si>
  <si>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</si>
  <si>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</si>
  <si>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Inorganic fertizers</t>
  </si>
  <si>
    <t>Yes</t>
  </si>
  <si>
    <t>No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</si>
  <si>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</si>
  <si>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</si>
  <si>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</si>
  <si>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</si>
  <si>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</si>
  <si>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</si>
  <si>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</si>
  <si>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</si>
  <si>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</si>
  <si>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</si>
  <si>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</si>
  <si>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</si>
  <si>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</si>
  <si>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</si>
  <si>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</si>
  <si>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</si>
  <si>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</si>
  <si>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</si>
  <si>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</si>
  <si>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</si>
  <si>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</si>
  <si>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</si>
  <si>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</si>
  <si>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</si>
  <si>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</si>
  <si>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</si>
  <si>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</si>
  <si>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</si>
  <si>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</si>
  <si>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</si>
  <si>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</si>
  <si>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</si>
  <si>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</si>
  <si>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</si>
  <si>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</si>
  <si>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</si>
  <si>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</si>
  <si>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</si>
  <si>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</si>
  <si>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</si>
  <si>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</si>
  <si>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</si>
  <si>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</si>
  <si>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</si>
  <si>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</si>
  <si>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</si>
  <si>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</si>
  <si>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</si>
  <si>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2/21/2017</t>
  </si>
  <si>
    <t>Mkopa solar</t>
  </si>
  <si>
    <t>No arrears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</si>
  <si>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</si>
  <si>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</si>
  <si>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</si>
  <si>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</si>
  <si>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</si>
  <si>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</si>
  <si>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</si>
  <si>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</si>
  <si>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</si>
  <si>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</si>
  <si>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</si>
  <si>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</si>
  <si>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2018/1/17</t>
  </si>
  <si>
    <t>Loan terms</t>
  </si>
  <si>
    <t>Expected disbursement date</t>
  </si>
  <si>
    <t>Expected first repayment date</t>
  </si>
  <si>
    <t>2018/2/17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</si>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</sst>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Sheep, 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0.5553101533413264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0.04271982912068352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55000</v>
      </c>
    </row>
    <row r="17" spans="1:7">
      <c r="B17" s="1" t="s">
        <v>11</v>
      </c>
      <c r="C17" s="36">
        <f>SUM(Output!B6:M6)</f>
        <v>504450</v>
      </c>
    </row>
    <row r="18" spans="1:7">
      <c r="B18" s="1" t="s">
        <v>12</v>
      </c>
      <c r="C18" s="36">
        <f>MIN(Output!B6:M6)</f>
        <v>42037.5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42037.5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55624</v>
      </c>
    </row>
    <row r="25" spans="1:7">
      <c r="B25" s="1" t="s">
        <v>18</v>
      </c>
      <c r="C25" s="36">
        <f>MAX(Inputs!A56:A60)</f>
        <v>55624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42037.5</v>
      </c>
      <c r="C6" s="51">
        <f>C30-C88</f>
        <v>42037.5</v>
      </c>
      <c r="D6" s="51">
        <f>D30-D88</f>
        <v>42037.5</v>
      </c>
      <c r="E6" s="51">
        <f>E30-E88</f>
        <v>42037.5</v>
      </c>
      <c r="F6" s="51">
        <f>F30-F88</f>
        <v>42037.5</v>
      </c>
      <c r="G6" s="51">
        <f>G30-G88</f>
        <v>42037.5</v>
      </c>
      <c r="H6" s="51">
        <f>H30-H88</f>
        <v>42037.5</v>
      </c>
      <c r="I6" s="51">
        <f>I30-I88</f>
        <v>42037.5</v>
      </c>
      <c r="J6" s="51">
        <f>J30-J88</f>
        <v>42037.5</v>
      </c>
      <c r="K6" s="51">
        <f>K30-K88</f>
        <v>42037.5</v>
      </c>
      <c r="L6" s="51">
        <f>L30-L88</f>
        <v>42037.5</v>
      </c>
      <c r="M6" s="51">
        <f>M30-M88</f>
        <v>42037.5</v>
      </c>
      <c r="N6" s="51">
        <f>N30-N88</f>
        <v>42037.5</v>
      </c>
      <c r="O6" s="51">
        <f>O30-O88</f>
        <v>42037.5</v>
      </c>
      <c r="P6" s="51">
        <f>P30-P88</f>
        <v>42037.5</v>
      </c>
      <c r="Q6" s="51">
        <f>Q30-Q88</f>
        <v>42037.5</v>
      </c>
      <c r="R6" s="51">
        <f>R30-R88</f>
        <v>42037.5</v>
      </c>
      <c r="S6" s="51">
        <f>S30-S88</f>
        <v>42037.5</v>
      </c>
      <c r="T6" s="51">
        <f>T30-T88</f>
        <v>42037.5</v>
      </c>
      <c r="U6" s="51">
        <f>U30-U88</f>
        <v>42037.5</v>
      </c>
      <c r="V6" s="51">
        <f>V30-V88</f>
        <v>42037.5</v>
      </c>
      <c r="W6" s="51">
        <f>W30-W88</f>
        <v>42037.5</v>
      </c>
      <c r="X6" s="51">
        <f>X30-X88</f>
        <v>42037.5</v>
      </c>
      <c r="Y6" s="51">
        <f>Y30-Y88</f>
        <v>42037.5</v>
      </c>
      <c r="Z6" s="51">
        <f>SUMIF($B$13:$Y$13,"Yes",B6:Y6)</f>
        <v>294262.5</v>
      </c>
      <c r="AA6" s="51">
        <f>AA30-AA88</f>
        <v>504450</v>
      </c>
      <c r="AB6" s="51">
        <f>AB30-AB88</f>
        <v>1008900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-145</v>
      </c>
      <c r="I7" s="80">
        <f>IF(ISERROR(VLOOKUP(MONTH(I5),Inputs!$D$66:$D$71,1,0)),"",INDEX(Inputs!$B$66:$B$71,MATCH(MONTH(Output!I5),Inputs!$D$66:$D$71,0))-INDEX(Inputs!$C$66:$C$71,MATCH(MONTH(Output!I5),Inputs!$D$66:$D$71,0)))</f>
        <v>-648</v>
      </c>
      <c r="J7" s="80">
        <f>IF(ISERROR(VLOOKUP(MONTH(J5),Inputs!$D$66:$D$71,1,0)),"",INDEX(Inputs!$B$66:$B$71,MATCH(MONTH(Output!J5),Inputs!$D$66:$D$71,0))-INDEX(Inputs!$C$66:$C$71,MATCH(MONTH(Output!J5),Inputs!$D$66:$D$71,0)))</f>
        <v>451160</v>
      </c>
      <c r="K7" s="80">
        <f>IF(ISERROR(VLOOKUP(MONTH(K5),Inputs!$D$66:$D$71,1,0)),"",INDEX(Inputs!$B$66:$B$71,MATCH(MONTH(Output!K5),Inputs!$D$66:$D$71,0))-INDEX(Inputs!$C$66:$C$71,MATCH(MONTH(Output!K5),Inputs!$D$66:$D$71,0)))</f>
        <v>-304244</v>
      </c>
      <c r="L7" s="80">
        <f>IF(ISERROR(VLOOKUP(MONTH(L5),Inputs!$D$66:$D$71,1,0)),"",INDEX(Inputs!$B$66:$B$71,MATCH(MONTH(Output!L5),Inputs!$D$66:$D$71,0))-INDEX(Inputs!$C$66:$C$71,MATCH(MONTH(Output!L5),Inputs!$D$66:$D$71,0)))</f>
        <v>-12</v>
      </c>
      <c r="M7" s="80">
        <f>IF(ISERROR(VLOOKUP(MONTH(M5),Inputs!$D$66:$D$71,1,0)),"",INDEX(Inputs!$B$66:$B$71,MATCH(MONTH(Output!M5),Inputs!$D$66:$D$71,0))-INDEX(Inputs!$C$66:$C$71,MATCH(MONTH(Output!M5),Inputs!$D$66:$D$71,0)))</f>
        <v>1375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-145</v>
      </c>
      <c r="U7" s="80">
        <f>IF(ISERROR(VLOOKUP(MONTH(U5),Inputs!$D$66:$D$71,1,0)),"",INDEX(Inputs!$B$66:$B$71,MATCH(MONTH(Output!U5),Inputs!$D$66:$D$71,0))-INDEX(Inputs!$C$66:$C$71,MATCH(MONTH(Output!U5),Inputs!$D$66:$D$71,0)))</f>
        <v>-648</v>
      </c>
      <c r="V7" s="80">
        <f>IF(ISERROR(VLOOKUP(MONTH(V5),Inputs!$D$66:$D$71,1,0)),"",INDEX(Inputs!$B$66:$B$71,MATCH(MONTH(Output!V5),Inputs!$D$66:$D$71,0))-INDEX(Inputs!$C$66:$C$71,MATCH(MONTH(Output!V5),Inputs!$D$66:$D$71,0)))</f>
        <v>451160</v>
      </c>
      <c r="W7" s="80">
        <f>IF(ISERROR(VLOOKUP(MONTH(W5),Inputs!$D$66:$D$71,1,0)),"",INDEX(Inputs!$B$66:$B$71,MATCH(MONTH(Output!W5),Inputs!$D$66:$D$71,0))-INDEX(Inputs!$C$66:$C$71,MATCH(MONTH(Output!W5),Inputs!$D$66:$D$71,0)))</f>
        <v>-304244</v>
      </c>
      <c r="X7" s="80">
        <f>IF(ISERROR(VLOOKUP(MONTH(X5),Inputs!$D$66:$D$71,1,0)),"",INDEX(Inputs!$B$66:$B$71,MATCH(MONTH(Output!X5),Inputs!$D$66:$D$71,0))-INDEX(Inputs!$C$66:$C$71,MATCH(MONTH(Output!X5),Inputs!$D$66:$D$71,0)))</f>
        <v>-12</v>
      </c>
      <c r="Y7" s="80">
        <f>IF(ISERROR(VLOOKUP(MONTH(Y5),Inputs!$D$66:$D$71,1,0)),"",INDEX(Inputs!$B$66:$B$71,MATCH(MONTH(Output!Y5),Inputs!$D$66:$D$71,0))-INDEX(Inputs!$C$66:$C$71,MATCH(MONTH(Output!Y5),Inputs!$D$66:$D$71,0)))</f>
        <v>1375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55000</v>
      </c>
      <c r="D10" s="37">
        <f>SUMPRODUCT((Calculations!$D$33:$D$84=Output!D5)+0,Calculations!$C$33:$C$84)</f>
        <v>55000</v>
      </c>
      <c r="E10" s="37">
        <f>SUMPRODUCT((Calculations!$D$33:$D$84=Output!E5)+0,Calculations!$C$33:$C$84)</f>
        <v>55000</v>
      </c>
      <c r="F10" s="37">
        <f>SUMPRODUCT((Calculations!$D$33:$D$84=Output!F5)+0,Calculations!$C$33:$C$84)</f>
        <v>55000</v>
      </c>
      <c r="G10" s="37">
        <f>SUMPRODUCT((Calculations!$D$33:$D$84=Output!G5)+0,Calculations!$C$33:$C$84)</f>
        <v>55000</v>
      </c>
      <c r="H10" s="37">
        <f>SUMPRODUCT((Calculations!$D$33:$D$84=Output!H5)+0,Calculations!$C$33:$C$84)</f>
        <v>55000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330000</v>
      </c>
      <c r="AA10" s="37">
        <f>SUM(B10:M10)</f>
        <v>330000</v>
      </c>
      <c r="AB10" s="37">
        <f>SUM(B10:Y10)</f>
        <v>330000</v>
      </c>
    </row>
    <row r="11" spans="1:30" customHeight="1" ht="15.75">
      <c r="A11" s="43" t="s">
        <v>31</v>
      </c>
      <c r="B11" s="80">
        <f>B6+B9-B10</f>
        <v>342037.5</v>
      </c>
      <c r="C11" s="80">
        <f>C6+C9-C10</f>
        <v>-12962.5</v>
      </c>
      <c r="D11" s="80">
        <f>D6+D9-D10</f>
        <v>-12962.5</v>
      </c>
      <c r="E11" s="80">
        <f>E6+E9-E10</f>
        <v>-12962.5</v>
      </c>
      <c r="F11" s="80">
        <f>F6+F9-F10</f>
        <v>-12962.5</v>
      </c>
      <c r="G11" s="80">
        <f>G6+G9-G10</f>
        <v>-12962.5</v>
      </c>
      <c r="H11" s="80">
        <f>H6+H9-H10</f>
        <v>-12962.5</v>
      </c>
      <c r="I11" s="80">
        <f>I6+I9-I10</f>
        <v>42037.5</v>
      </c>
      <c r="J11" s="80">
        <f>J6+J9-J10</f>
        <v>42037.5</v>
      </c>
      <c r="K11" s="80">
        <f>K6+K9-K10</f>
        <v>42037.5</v>
      </c>
      <c r="L11" s="80">
        <f>L6+L9-L10</f>
        <v>42037.5</v>
      </c>
      <c r="M11" s="80">
        <f>M6+M9-M10</f>
        <v>42037.5</v>
      </c>
      <c r="N11" s="80">
        <f>N6+N9-N10</f>
        <v>42037.5</v>
      </c>
      <c r="O11" s="80">
        <f>O6+O9-O10</f>
        <v>42037.5</v>
      </c>
      <c r="P11" s="80">
        <f>P6+P9-P10</f>
        <v>42037.5</v>
      </c>
      <c r="Q11" s="80">
        <f>Q6+Q9-Q10</f>
        <v>42037.5</v>
      </c>
      <c r="R11" s="80">
        <f>R6+R9-R10</f>
        <v>42037.5</v>
      </c>
      <c r="S11" s="80">
        <f>S6+S9-S10</f>
        <v>42037.5</v>
      </c>
      <c r="T11" s="80">
        <f>T6+T9-T10</f>
        <v>42037.5</v>
      </c>
      <c r="U11" s="80">
        <f>U6+U9-U10</f>
        <v>42037.5</v>
      </c>
      <c r="V11" s="80">
        <f>V6+V9-V10</f>
        <v>42037.5</v>
      </c>
      <c r="W11" s="80">
        <f>W6+W9-W10</f>
        <v>42037.5</v>
      </c>
      <c r="X11" s="80">
        <f>X6+X9-X10</f>
        <v>42037.5</v>
      </c>
      <c r="Y11" s="80">
        <f>Y6+Y9-Y10</f>
        <v>42037.5</v>
      </c>
      <c r="Z11" s="85">
        <f>SUMIF($B$13:$Y$13,"Yes",B11:Y11)</f>
        <v>264262.5</v>
      </c>
      <c r="AA11" s="80">
        <f>SUM(B11:M11)</f>
        <v>474450</v>
      </c>
      <c r="AB11" s="46">
        <f>SUM(B11:Y11)</f>
        <v>978900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0.1432011976827443</v>
      </c>
      <c r="D12" s="82">
        <f>IF(D13="Yes",IF(SUM($B$10:D10)/(SUM($B$6:D6)+SUM($B$9:D9))&lt;0,999.99,SUM($B$10:D10)/(SUM($B$6:D6)+SUM($B$9:D9))),"")</f>
        <v>0.2581477896095515</v>
      </c>
      <c r="E12" s="82">
        <f>IF(E13="Yes",IF(SUM($B$10:E10)/(SUM($B$6:E6)+SUM($B$9:E9))&lt;0,999.99,SUM($B$10:E10)/(SUM($B$6:E6)+SUM($B$9:E9))),"")</f>
        <v>0.3524511374559436</v>
      </c>
      <c r="F12" s="82">
        <f>IF(F13="Yes",IF(SUM($B$10:F10)/(SUM($B$6:F6)+SUM($B$9:F9))&lt;0,999.99,SUM($B$10:F10)/(SUM($B$6:F6)+SUM($B$9:F9))),"")</f>
        <v>0.4312140144554698</v>
      </c>
      <c r="G12" s="82">
        <f>IF(G13="Yes",IF(SUM($B$10:G10)/(SUM($B$6:G6)+SUM($B$9:G9))&lt;0,999.99,SUM($B$10:G10)/(SUM($B$6:G6)+SUM($B$9:G9))),"")</f>
        <v>0.4979854226085382</v>
      </c>
      <c r="H12" s="82">
        <f>IF(H13="Yes",IF(SUM($B$10:H10)/(SUM($B$6:H6)+SUM($B$9:H9))&lt;0,999.99,SUM($B$10:H10)/(SUM($B$6:H6)+SUM($B$9:H9))),"")</f>
        <v>0.5553101533413264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144000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37500</v>
      </c>
      <c r="C24" s="36">
        <f>IFERROR(Calculations!$P14/12,"")</f>
        <v>37500</v>
      </c>
      <c r="D24" s="36">
        <f>IFERROR(Calculations!$P14/12,"")</f>
        <v>37500</v>
      </c>
      <c r="E24" s="36">
        <f>IFERROR(Calculations!$P14/12,"")</f>
        <v>37500</v>
      </c>
      <c r="F24" s="36">
        <f>IFERROR(Calculations!$P14/12,"")</f>
        <v>37500</v>
      </c>
      <c r="G24" s="36">
        <f>IFERROR(Calculations!$P14/12,"")</f>
        <v>37500</v>
      </c>
      <c r="H24" s="36">
        <f>IFERROR(Calculations!$P14/12,"")</f>
        <v>37500</v>
      </c>
      <c r="I24" s="36">
        <f>IFERROR(Calculations!$P14/12,"")</f>
        <v>37500</v>
      </c>
      <c r="J24" s="36">
        <f>IFERROR(Calculations!$P14/12,"")</f>
        <v>37500</v>
      </c>
      <c r="K24" s="36">
        <f>IFERROR(Calculations!$P14/12,"")</f>
        <v>37500</v>
      </c>
      <c r="L24" s="36">
        <f>IFERROR(Calculations!$P14/12,"")</f>
        <v>37500</v>
      </c>
      <c r="M24" s="36">
        <f>IFERROR(Calculations!$P14/12,"")</f>
        <v>37500</v>
      </c>
      <c r="N24" s="36">
        <f>IFERROR(Calculations!$P14/12,"")</f>
        <v>37500</v>
      </c>
      <c r="O24" s="36">
        <f>IFERROR(Calculations!$P14/12,"")</f>
        <v>37500</v>
      </c>
      <c r="P24" s="36">
        <f>IFERROR(Calculations!$P14/12,"")</f>
        <v>37500</v>
      </c>
      <c r="Q24" s="36">
        <f>IFERROR(Calculations!$P14/12,"")</f>
        <v>37500</v>
      </c>
      <c r="R24" s="36">
        <f>IFERROR(Calculations!$P14/12,"")</f>
        <v>37500</v>
      </c>
      <c r="S24" s="36">
        <f>IFERROR(Calculations!$P14/12,"")</f>
        <v>37500</v>
      </c>
      <c r="T24" s="36">
        <f>IFERROR(Calculations!$P14/12,"")</f>
        <v>37500</v>
      </c>
      <c r="U24" s="36">
        <f>IFERROR(Calculations!$P14/12,"")</f>
        <v>37500</v>
      </c>
      <c r="V24" s="36">
        <f>IFERROR(Calculations!$P14/12,"")</f>
        <v>37500</v>
      </c>
      <c r="W24" s="36">
        <f>IFERROR(Calculations!$P14/12,"")</f>
        <v>37500</v>
      </c>
      <c r="X24" s="36">
        <f>IFERROR(Calculations!$P14/12,"")</f>
        <v>37500</v>
      </c>
      <c r="Y24" s="36">
        <f>IFERROR(Calculations!$P14/12,"")</f>
        <v>37500</v>
      </c>
      <c r="Z24" s="36">
        <f>SUMIF($B$13:$Y$13,"Yes",B24:Y24)</f>
        <v>262500</v>
      </c>
      <c r="AA24" s="36">
        <f>SUM(B24:M24)</f>
        <v>450000</v>
      </c>
      <c r="AB24" s="46">
        <f>SUM(B24:Y24)</f>
        <v>900000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41062.50000000001</v>
      </c>
      <c r="C25" s="36">
        <f>IFERROR(Calculations!$P15/12,"")</f>
        <v>41062.50000000001</v>
      </c>
      <c r="D25" s="36">
        <f>IFERROR(Calculations!$P15/12,"")</f>
        <v>41062.50000000001</v>
      </c>
      <c r="E25" s="36">
        <f>IFERROR(Calculations!$P15/12,"")</f>
        <v>41062.50000000001</v>
      </c>
      <c r="F25" s="36">
        <f>IFERROR(Calculations!$P15/12,"")</f>
        <v>41062.50000000001</v>
      </c>
      <c r="G25" s="36">
        <f>IFERROR(Calculations!$P15/12,"")</f>
        <v>41062.50000000001</v>
      </c>
      <c r="H25" s="36">
        <f>IFERROR(Calculations!$P15/12,"")</f>
        <v>41062.50000000001</v>
      </c>
      <c r="I25" s="36">
        <f>IFERROR(Calculations!$P15/12,"")</f>
        <v>41062.50000000001</v>
      </c>
      <c r="J25" s="36">
        <f>IFERROR(Calculations!$P15/12,"")</f>
        <v>41062.50000000001</v>
      </c>
      <c r="K25" s="36">
        <f>IFERROR(Calculations!$P15/12,"")</f>
        <v>41062.50000000001</v>
      </c>
      <c r="L25" s="36">
        <f>IFERROR(Calculations!$P15/12,"")</f>
        <v>41062.50000000001</v>
      </c>
      <c r="M25" s="36">
        <f>IFERROR(Calculations!$P15/12,"")</f>
        <v>41062.50000000001</v>
      </c>
      <c r="N25" s="36">
        <f>IFERROR(Calculations!$P15/12,"")</f>
        <v>41062.50000000001</v>
      </c>
      <c r="O25" s="36">
        <f>IFERROR(Calculations!$P15/12,"")</f>
        <v>41062.50000000001</v>
      </c>
      <c r="P25" s="36">
        <f>IFERROR(Calculations!$P15/12,"")</f>
        <v>41062.50000000001</v>
      </c>
      <c r="Q25" s="36">
        <f>IFERROR(Calculations!$P15/12,"")</f>
        <v>41062.50000000001</v>
      </c>
      <c r="R25" s="36">
        <f>IFERROR(Calculations!$P15/12,"")</f>
        <v>41062.50000000001</v>
      </c>
      <c r="S25" s="36">
        <f>IFERROR(Calculations!$P15/12,"")</f>
        <v>41062.50000000001</v>
      </c>
      <c r="T25" s="36">
        <f>IFERROR(Calculations!$P15/12,"")</f>
        <v>41062.50000000001</v>
      </c>
      <c r="U25" s="36">
        <f>IFERROR(Calculations!$P15/12,"")</f>
        <v>41062.50000000001</v>
      </c>
      <c r="V25" s="36">
        <f>IFERROR(Calculations!$P15/12,"")</f>
        <v>41062.50000000001</v>
      </c>
      <c r="W25" s="36">
        <f>IFERROR(Calculations!$P15/12,"")</f>
        <v>41062.50000000001</v>
      </c>
      <c r="X25" s="36">
        <f>IFERROR(Calculations!$P15/12,"")</f>
        <v>41062.50000000001</v>
      </c>
      <c r="Y25" s="36">
        <f>IFERROR(Calculations!$P15/12,"")</f>
        <v>41062.50000000001</v>
      </c>
      <c r="Z25" s="36">
        <f>SUMIF($B$13:$Y$13,"Yes",B25:Y25)</f>
        <v>287437.5000000001</v>
      </c>
      <c r="AA25" s="36">
        <f>SUM(B25:M25)</f>
        <v>492750.0000000001</v>
      </c>
      <c r="AB25" s="46">
        <f>SUM(B25:Y25)</f>
        <v>985500.0000000001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78562.5</v>
      </c>
      <c r="C30" s="19">
        <f>SUM(C18:C29)</f>
        <v>78562.5</v>
      </c>
      <c r="D30" s="19">
        <f>SUM(D18:D29)</f>
        <v>78562.5</v>
      </c>
      <c r="E30" s="19">
        <f>SUM(E18:E29)</f>
        <v>78562.5</v>
      </c>
      <c r="F30" s="19">
        <f>SUM(F18:F29)</f>
        <v>78562.5</v>
      </c>
      <c r="G30" s="19">
        <f>SUM(G18:G29)</f>
        <v>78562.5</v>
      </c>
      <c r="H30" s="19">
        <f>SUM(H18:H29)</f>
        <v>78562.5</v>
      </c>
      <c r="I30" s="19">
        <f>SUM(I18:I29)</f>
        <v>78562.5</v>
      </c>
      <c r="J30" s="19">
        <f>SUM(J18:J29)</f>
        <v>78562.5</v>
      </c>
      <c r="K30" s="19">
        <f>SUM(K18:K29)</f>
        <v>78562.5</v>
      </c>
      <c r="L30" s="19">
        <f>SUM(L18:L29)</f>
        <v>78562.5</v>
      </c>
      <c r="M30" s="19">
        <f>SUM(M18:M29)</f>
        <v>78562.5</v>
      </c>
      <c r="N30" s="19">
        <f>SUM(N18:N29)</f>
        <v>78562.5</v>
      </c>
      <c r="O30" s="19">
        <f>SUM(O18:O29)</f>
        <v>78562.5</v>
      </c>
      <c r="P30" s="19">
        <f>SUM(P18:P29)</f>
        <v>78562.5</v>
      </c>
      <c r="Q30" s="19">
        <f>SUM(Q18:Q29)</f>
        <v>78562.5</v>
      </c>
      <c r="R30" s="19">
        <f>SUM(R18:R29)</f>
        <v>78562.5</v>
      </c>
      <c r="S30" s="19">
        <f>SUM(S18:S29)</f>
        <v>78562.5</v>
      </c>
      <c r="T30" s="19">
        <f>SUM(T18:T29)</f>
        <v>78562.5</v>
      </c>
      <c r="U30" s="19">
        <f>SUM(U18:U29)</f>
        <v>78562.5</v>
      </c>
      <c r="V30" s="19">
        <f>SUM(V18:V29)</f>
        <v>78562.5</v>
      </c>
      <c r="W30" s="19">
        <f>SUM(W18:W29)</f>
        <v>78562.5</v>
      </c>
      <c r="X30" s="19">
        <f>SUM(X18:X29)</f>
        <v>78562.5</v>
      </c>
      <c r="Y30" s="19">
        <f>SUM(Y18:Y29)</f>
        <v>78562.5</v>
      </c>
      <c r="Z30" s="19">
        <f>SUMIF($B$13:$Y$13,"Yes",B30:Y30)</f>
        <v>549937.5</v>
      </c>
      <c r="AA30" s="19">
        <f>SUM(B30:M30)</f>
        <v>942750</v>
      </c>
      <c r="AB30" s="19">
        <f>SUM(B30:Y30)</f>
        <v>1885500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2500</v>
      </c>
      <c r="C75" s="46">
        <f>SUM(Calculations!$R$14:$R$16)/12</f>
        <v>2500</v>
      </c>
      <c r="D75" s="46">
        <f>SUM(Calculations!$R$14:$R$16)/12</f>
        <v>2500</v>
      </c>
      <c r="E75" s="46">
        <f>SUM(Calculations!$R$14:$R$16)/12</f>
        <v>2500</v>
      </c>
      <c r="F75" s="46">
        <f>SUM(Calculations!$R$14:$R$16)/12</f>
        <v>2500</v>
      </c>
      <c r="G75" s="46">
        <f>SUM(Calculations!$R$14:$R$16)/12</f>
        <v>2500</v>
      </c>
      <c r="H75" s="46">
        <f>SUM(Calculations!$R$14:$R$16)/12</f>
        <v>2500</v>
      </c>
      <c r="I75" s="46">
        <f>SUM(Calculations!$R$14:$R$16)/12</f>
        <v>2500</v>
      </c>
      <c r="J75" s="46">
        <f>SUM(Calculations!$R$14:$R$16)/12</f>
        <v>2500</v>
      </c>
      <c r="K75" s="46">
        <f>SUM(Calculations!$R$14:$R$16)/12</f>
        <v>2500</v>
      </c>
      <c r="L75" s="46">
        <f>SUM(Calculations!$R$14:$R$16)/12</f>
        <v>2500</v>
      </c>
      <c r="M75" s="46">
        <f>SUM(Calculations!$R$14:$R$16)/12</f>
        <v>2500</v>
      </c>
      <c r="N75" s="46">
        <f>SUM(Calculations!$R$14:$R$16)/12</f>
        <v>2500</v>
      </c>
      <c r="O75" s="46">
        <f>SUM(Calculations!$R$14:$R$16)/12</f>
        <v>2500</v>
      </c>
      <c r="P75" s="46">
        <f>SUM(Calculations!$R$14:$R$16)/12</f>
        <v>2500</v>
      </c>
      <c r="Q75" s="46">
        <f>SUM(Calculations!$R$14:$R$16)/12</f>
        <v>2500</v>
      </c>
      <c r="R75" s="46">
        <f>SUM(Calculations!$R$14:$R$16)/12</f>
        <v>2500</v>
      </c>
      <c r="S75" s="46">
        <f>SUM(Calculations!$R$14:$R$16)/12</f>
        <v>2500</v>
      </c>
      <c r="T75" s="46">
        <f>SUM(Calculations!$R$14:$R$16)/12</f>
        <v>2500</v>
      </c>
      <c r="U75" s="46">
        <f>SUM(Calculations!$R$14:$R$16)/12</f>
        <v>2500</v>
      </c>
      <c r="V75" s="46">
        <f>SUM(Calculations!$R$14:$R$16)/12</f>
        <v>2500</v>
      </c>
      <c r="W75" s="46">
        <f>SUM(Calculations!$R$14:$R$16)/12</f>
        <v>2500</v>
      </c>
      <c r="X75" s="46">
        <f>SUM(Calculations!$R$14:$R$16)/12</f>
        <v>2500</v>
      </c>
      <c r="Y75" s="46">
        <f>SUM(Calculations!$R$14:$R$16)/12</f>
        <v>2500</v>
      </c>
      <c r="Z75" s="46">
        <f>SUMIF($B$13:$Y$13,"Yes",B75:Y75)</f>
        <v>17500</v>
      </c>
      <c r="AA75" s="46">
        <f>SUM(B75:M75)</f>
        <v>30000</v>
      </c>
      <c r="AB75" s="46">
        <f>SUM(B75:Y75)</f>
        <v>60000</v>
      </c>
    </row>
    <row r="76" spans="1:30">
      <c r="A76" s="16" t="s">
        <v>48</v>
      </c>
      <c r="B76" s="46">
        <f>SUM(Calculations!$S$14:$S$16)/12</f>
        <v>6000</v>
      </c>
      <c r="C76" s="46">
        <f>SUM(Calculations!$S$14:$S$16)/12</f>
        <v>6000</v>
      </c>
      <c r="D76" s="46">
        <f>SUM(Calculations!$S$14:$S$16)/12</f>
        <v>6000</v>
      </c>
      <c r="E76" s="46">
        <f>SUM(Calculations!$S$14:$S$16)/12</f>
        <v>6000</v>
      </c>
      <c r="F76" s="46">
        <f>SUM(Calculations!$S$14:$S$16)/12</f>
        <v>6000</v>
      </c>
      <c r="G76" s="46">
        <f>SUM(Calculations!$S$14:$S$16)/12</f>
        <v>6000</v>
      </c>
      <c r="H76" s="46">
        <f>SUM(Calculations!$S$14:$S$16)/12</f>
        <v>6000</v>
      </c>
      <c r="I76" s="46">
        <f>SUM(Calculations!$S$14:$S$16)/12</f>
        <v>6000</v>
      </c>
      <c r="J76" s="46">
        <f>SUM(Calculations!$S$14:$S$16)/12</f>
        <v>6000</v>
      </c>
      <c r="K76" s="46">
        <f>SUM(Calculations!$S$14:$S$16)/12</f>
        <v>6000</v>
      </c>
      <c r="L76" s="46">
        <f>SUM(Calculations!$S$14:$S$16)/12</f>
        <v>6000</v>
      </c>
      <c r="M76" s="46">
        <f>SUM(Calculations!$S$14:$S$16)/12</f>
        <v>6000</v>
      </c>
      <c r="N76" s="46">
        <f>SUM(Calculations!$S$14:$S$16)/12</f>
        <v>6000</v>
      </c>
      <c r="O76" s="46">
        <f>SUM(Calculations!$S$14:$S$16)/12</f>
        <v>6000</v>
      </c>
      <c r="P76" s="46">
        <f>SUM(Calculations!$S$14:$S$16)/12</f>
        <v>6000</v>
      </c>
      <c r="Q76" s="46">
        <f>SUM(Calculations!$S$14:$S$16)/12</f>
        <v>6000</v>
      </c>
      <c r="R76" s="46">
        <f>SUM(Calculations!$S$14:$S$16)/12</f>
        <v>6000</v>
      </c>
      <c r="S76" s="46">
        <f>SUM(Calculations!$S$14:$S$16)/12</f>
        <v>6000</v>
      </c>
      <c r="T76" s="46">
        <f>SUM(Calculations!$S$14:$S$16)/12</f>
        <v>6000</v>
      </c>
      <c r="U76" s="46">
        <f>SUM(Calculations!$S$14:$S$16)/12</f>
        <v>6000</v>
      </c>
      <c r="V76" s="46">
        <f>SUM(Calculations!$S$14:$S$16)/12</f>
        <v>6000</v>
      </c>
      <c r="W76" s="46">
        <f>SUM(Calculations!$S$14:$S$16)/12</f>
        <v>6000</v>
      </c>
      <c r="X76" s="46">
        <f>SUM(Calculations!$S$14:$S$16)/12</f>
        <v>6000</v>
      </c>
      <c r="Y76" s="46">
        <f>SUM(Calculations!$S$14:$S$16)/12</f>
        <v>6000</v>
      </c>
      <c r="Z76" s="46">
        <f>SUMIF($B$13:$Y$13,"Yes",B76:Y76)</f>
        <v>42000</v>
      </c>
      <c r="AA76" s="46">
        <f>SUM(B76:M76)</f>
        <v>72000</v>
      </c>
      <c r="AB76" s="46">
        <f>SUM(B76:Y76)</f>
        <v>144000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28025</v>
      </c>
      <c r="C81" s="46">
        <f>(SUM($AA$18:$AA$29)-SUM($AA$36,$AA$42,$AA$48,$AA$54,$AA$60,$AA$66,$AA$72:$AA$79))*Parameters!$B$37/12</f>
        <v>28025</v>
      </c>
      <c r="D81" s="46">
        <f>(SUM($AA$18:$AA$29)-SUM($AA$36,$AA$42,$AA$48,$AA$54,$AA$60,$AA$66,$AA$72:$AA$79))*Parameters!$B$37/12</f>
        <v>28025</v>
      </c>
      <c r="E81" s="46">
        <f>(SUM($AA$18:$AA$29)-SUM($AA$36,$AA$42,$AA$48,$AA$54,$AA$60,$AA$66,$AA$72:$AA$79))*Parameters!$B$37/12</f>
        <v>28025</v>
      </c>
      <c r="F81" s="46">
        <f>(SUM($AA$18:$AA$29)-SUM($AA$36,$AA$42,$AA$48,$AA$54,$AA$60,$AA$66,$AA$72:$AA$79))*Parameters!$B$37/12</f>
        <v>28025</v>
      </c>
      <c r="G81" s="46">
        <f>(SUM($AA$18:$AA$29)-SUM($AA$36,$AA$42,$AA$48,$AA$54,$AA$60,$AA$66,$AA$72:$AA$79))*Parameters!$B$37/12</f>
        <v>28025</v>
      </c>
      <c r="H81" s="46">
        <f>(SUM($AA$18:$AA$29)-SUM($AA$36,$AA$42,$AA$48,$AA$54,$AA$60,$AA$66,$AA$72:$AA$79))*Parameters!$B$37/12</f>
        <v>28025</v>
      </c>
      <c r="I81" s="46">
        <f>(SUM($AA$18:$AA$29)-SUM($AA$36,$AA$42,$AA$48,$AA$54,$AA$60,$AA$66,$AA$72:$AA$79))*Parameters!$B$37/12</f>
        <v>28025</v>
      </c>
      <c r="J81" s="46">
        <f>(SUM($AA$18:$AA$29)-SUM($AA$36,$AA$42,$AA$48,$AA$54,$AA$60,$AA$66,$AA$72:$AA$79))*Parameters!$B$37/12</f>
        <v>28025</v>
      </c>
      <c r="K81" s="46">
        <f>(SUM($AA$18:$AA$29)-SUM($AA$36,$AA$42,$AA$48,$AA$54,$AA$60,$AA$66,$AA$72:$AA$79))*Parameters!$B$37/12</f>
        <v>28025</v>
      </c>
      <c r="L81" s="46">
        <f>(SUM($AA$18:$AA$29)-SUM($AA$36,$AA$42,$AA$48,$AA$54,$AA$60,$AA$66,$AA$72:$AA$79))*Parameters!$B$37/12</f>
        <v>28025</v>
      </c>
      <c r="M81" s="46">
        <f>(SUM($AA$18:$AA$29)-SUM($AA$36,$AA$42,$AA$48,$AA$54,$AA$60,$AA$66,$AA$72:$AA$79))*Parameters!$B$37/12</f>
        <v>28025</v>
      </c>
      <c r="N81" s="46">
        <f>(SUM($AA$18:$AA$29)-SUM($AA$36,$AA$42,$AA$48,$AA$54,$AA$60,$AA$66,$AA$72:$AA$79))*Parameters!$B$37/12</f>
        <v>28025</v>
      </c>
      <c r="O81" s="46">
        <f>(SUM($AA$18:$AA$29)-SUM($AA$36,$AA$42,$AA$48,$AA$54,$AA$60,$AA$66,$AA$72:$AA$79))*Parameters!$B$37/12</f>
        <v>28025</v>
      </c>
      <c r="P81" s="46">
        <f>(SUM($AA$18:$AA$29)-SUM($AA$36,$AA$42,$AA$48,$AA$54,$AA$60,$AA$66,$AA$72:$AA$79))*Parameters!$B$37/12</f>
        <v>28025</v>
      </c>
      <c r="Q81" s="46">
        <f>(SUM($AA$18:$AA$29)-SUM($AA$36,$AA$42,$AA$48,$AA$54,$AA$60,$AA$66,$AA$72:$AA$79))*Parameters!$B$37/12</f>
        <v>28025</v>
      </c>
      <c r="R81" s="46">
        <f>(SUM($AA$18:$AA$29)-SUM($AA$36,$AA$42,$AA$48,$AA$54,$AA$60,$AA$66,$AA$72:$AA$79))*Parameters!$B$37/12</f>
        <v>28025</v>
      </c>
      <c r="S81" s="46">
        <f>(SUM($AA$18:$AA$29)-SUM($AA$36,$AA$42,$AA$48,$AA$54,$AA$60,$AA$66,$AA$72:$AA$79))*Parameters!$B$37/12</f>
        <v>28025</v>
      </c>
      <c r="T81" s="46">
        <f>(SUM($AA$18:$AA$29)-SUM($AA$36,$AA$42,$AA$48,$AA$54,$AA$60,$AA$66,$AA$72:$AA$79))*Parameters!$B$37/12</f>
        <v>28025</v>
      </c>
      <c r="U81" s="46">
        <f>(SUM($AA$18:$AA$29)-SUM($AA$36,$AA$42,$AA$48,$AA$54,$AA$60,$AA$66,$AA$72:$AA$79))*Parameters!$B$37/12</f>
        <v>28025</v>
      </c>
      <c r="V81" s="46">
        <f>(SUM($AA$18:$AA$29)-SUM($AA$36,$AA$42,$AA$48,$AA$54,$AA$60,$AA$66,$AA$72:$AA$79))*Parameters!$B$37/12</f>
        <v>28025</v>
      </c>
      <c r="W81" s="46">
        <f>(SUM($AA$18:$AA$29)-SUM($AA$36,$AA$42,$AA$48,$AA$54,$AA$60,$AA$66,$AA$72:$AA$79))*Parameters!$B$37/12</f>
        <v>28025</v>
      </c>
      <c r="X81" s="46">
        <f>(SUM($AA$18:$AA$29)-SUM($AA$36,$AA$42,$AA$48,$AA$54,$AA$60,$AA$66,$AA$72:$AA$79))*Parameters!$B$37/12</f>
        <v>28025</v>
      </c>
      <c r="Y81" s="46">
        <f>(SUM($AA$18:$AA$29)-SUM($AA$36,$AA$42,$AA$48,$AA$54,$AA$60,$AA$66,$AA$72:$AA$79))*Parameters!$B$37/12</f>
        <v>28025</v>
      </c>
      <c r="Z81" s="46">
        <f>SUMIF($B$13:$Y$13,"Yes",B81:Y81)</f>
        <v>196175</v>
      </c>
      <c r="AA81" s="46">
        <f>SUM(B81:M81)</f>
        <v>336300</v>
      </c>
      <c r="AB81" s="46">
        <f>SUM(B81:Y81)</f>
        <v>672600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36525</v>
      </c>
      <c r="C88" s="19">
        <f>SUM(C72:C82,C66,C60,C54,C48,C42,C36)</f>
        <v>36525</v>
      </c>
      <c r="D88" s="19">
        <f>SUM(D72:D82,D66,D60,D54,D48,D42,D36)</f>
        <v>36525</v>
      </c>
      <c r="E88" s="19">
        <f>SUM(E72:E82,E66,E60,E54,E48,E42,E36)</f>
        <v>36525</v>
      </c>
      <c r="F88" s="19">
        <f>SUM(F72:F82,F66,F60,F54,F48,F42,F36)</f>
        <v>36525</v>
      </c>
      <c r="G88" s="19">
        <f>SUM(G72:G82,G66,G60,G54,G48,G42,G36)</f>
        <v>36525</v>
      </c>
      <c r="H88" s="19">
        <f>SUM(H72:H82,H66,H60,H54,H48,H42,H36)</f>
        <v>36525</v>
      </c>
      <c r="I88" s="19">
        <f>SUM(I72:I82,I66,I60,I54,I48,I42,I36)</f>
        <v>36525</v>
      </c>
      <c r="J88" s="19">
        <f>SUM(J72:J82,J66,J60,J54,J48,J42,J36)</f>
        <v>36525</v>
      </c>
      <c r="K88" s="19">
        <f>SUM(K72:K82,K66,K60,K54,K48,K42,K36)</f>
        <v>36525</v>
      </c>
      <c r="L88" s="19">
        <f>SUM(L72:L82,L66,L60,L54,L48,L42,L36)</f>
        <v>36525</v>
      </c>
      <c r="M88" s="19">
        <f>SUM(M72:M82,M66,M60,M54,M48,M42,M36)</f>
        <v>36525</v>
      </c>
      <c r="N88" s="19">
        <f>SUM(N72:N82,N66,N60,N54,N48,N42,N36)</f>
        <v>36525</v>
      </c>
      <c r="O88" s="19">
        <f>SUM(O72:O82,O66,O60,O54,O48,O42,O36)</f>
        <v>36525</v>
      </c>
      <c r="P88" s="19">
        <f>SUM(P72:P82,P66,P60,P54,P48,P42,P36)</f>
        <v>36525</v>
      </c>
      <c r="Q88" s="19">
        <f>SUM(Q72:Q82,Q66,Q60,Q54,Q48,Q42,Q36)</f>
        <v>36525</v>
      </c>
      <c r="R88" s="19">
        <f>SUM(R72:R82,R66,R60,R54,R48,R42,R36)</f>
        <v>36525</v>
      </c>
      <c r="S88" s="19">
        <f>SUM(S72:S82,S66,S60,S54,S48,S42,S36)</f>
        <v>36525</v>
      </c>
      <c r="T88" s="19">
        <f>SUM(T72:T82,T66,T60,T54,T48,T42,T36)</f>
        <v>36525</v>
      </c>
      <c r="U88" s="19">
        <f>SUM(U72:U82,U66,U60,U54,U48,U42,U36)</f>
        <v>36525</v>
      </c>
      <c r="V88" s="19">
        <f>SUM(V72:V82,V66,V60,V54,V48,V42,V36)</f>
        <v>36525</v>
      </c>
      <c r="W88" s="19">
        <f>SUM(W72:W82,W66,W60,W54,W48,W42,W36)</f>
        <v>36525</v>
      </c>
      <c r="X88" s="19">
        <f>SUM(X72:X82,X66,X60,X54,X48,X42,X36)</f>
        <v>36525</v>
      </c>
      <c r="Y88" s="19">
        <f>SUM(Y72:Y82,Y66,Y60,Y54,Y48,Y42,Y36)</f>
        <v>36525</v>
      </c>
      <c r="Z88" s="19">
        <f>SUMIF($B$13:$Y$13,"Yes",B88:Y88)</f>
        <v>255675</v>
      </c>
      <c r="AA88" s="19">
        <f>SUM(B88:M88)</f>
        <v>438300</v>
      </c>
      <c r="AB88" s="19">
        <f>SUM(B88:Y88)</f>
        <v>876600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52000</v>
      </c>
    </row>
    <row r="96" spans="1:30">
      <c r="A96" t="s">
        <v>62</v>
      </c>
      <c r="B96" s="36">
        <f>SUMPRODUCT(Inputs!C19:C21,Calculations!O14:O16)</f>
        <v>2640000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2800000</v>
      </c>
    </row>
    <row r="98" spans="1:30">
      <c r="A98" t="s">
        <v>64</v>
      </c>
      <c r="B98" s="36">
        <f>IF(Inputs!B44="Yes",Inputs!B45,0)</f>
        <v>1500</v>
      </c>
    </row>
    <row r="99" spans="1:30">
      <c r="A99" t="s">
        <v>65</v>
      </c>
      <c r="B99" s="36">
        <f>Inputs!B46</f>
        <v>14000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7022500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8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120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6</v>
      </c>
      <c r="D20" s="147">
        <v>6</v>
      </c>
      <c r="E20" s="16"/>
      <c r="F20" s="147" t="s">
        <v>92</v>
      </c>
      <c r="G20" s="16"/>
      <c r="H20" s="16"/>
      <c r="I20" s="147" t="s">
        <v>109</v>
      </c>
      <c r="J20" s="147">
        <v>5</v>
      </c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1500</v>
      </c>
    </row>
    <row r="46" spans="1:48" customHeight="1" ht="30">
      <c r="A46" s="57" t="s">
        <v>130</v>
      </c>
      <c r="B46" s="161">
        <v>14000</v>
      </c>
    </row>
    <row r="47" spans="1:48" customHeight="1" ht="30">
      <c r="A47" s="57" t="s">
        <v>131</v>
      </c>
      <c r="B47" s="161">
        <v>52000</v>
      </c>
    </row>
    <row r="48" spans="1:48" customHeight="1" ht="30">
      <c r="A48" s="57" t="s">
        <v>132</v>
      </c>
      <c r="B48" s="161">
        <v>1500000</v>
      </c>
    </row>
    <row r="49" spans="1:48" customHeight="1" ht="30">
      <c r="A49" s="57" t="s">
        <v>133</v>
      </c>
      <c r="B49" s="161">
        <v>15000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55624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146</v>
      </c>
      <c r="C65" s="10" t="s">
        <v>147</v>
      </c>
    </row>
    <row r="66" spans="1:48">
      <c r="A66" s="142" t="s">
        <v>148</v>
      </c>
      <c r="B66" s="159">
        <v>91750</v>
      </c>
      <c r="C66" s="163">
        <v>90375</v>
      </c>
      <c r="D66" s="49">
        <f>INDEX(Parameters!$D$79:$D$90,MATCH(Inputs!A66,Parameters!$C$79:$C$90,0))</f>
        <v>12</v>
      </c>
    </row>
    <row r="67" spans="1:48">
      <c r="A67" s="143" t="s">
        <v>149</v>
      </c>
      <c r="B67" s="157">
        <v>137700</v>
      </c>
      <c r="C67" s="165">
        <v>137712</v>
      </c>
      <c r="D67" s="49">
        <f>INDEX(Parameters!$D$79:$D$90,MATCH(Inputs!A67,Parameters!$C$79:$C$90,0))</f>
        <v>11</v>
      </c>
    </row>
    <row r="68" spans="1:48">
      <c r="A68" s="143" t="s">
        <v>150</v>
      </c>
      <c r="B68" s="157">
        <v>188405</v>
      </c>
      <c r="C68" s="165">
        <v>492649</v>
      </c>
      <c r="D68" s="49">
        <f>INDEX(Parameters!$D$79:$D$90,MATCH(Inputs!A68,Parameters!$C$79:$C$90,0))</f>
        <v>10</v>
      </c>
    </row>
    <row r="69" spans="1:48">
      <c r="A69" s="143" t="s">
        <v>151</v>
      </c>
      <c r="B69" s="157">
        <v>994171</v>
      </c>
      <c r="C69" s="165">
        <v>543011</v>
      </c>
      <c r="D69" s="49">
        <f>INDEX(Parameters!$D$79:$D$90,MATCH(Inputs!A69,Parameters!$C$79:$C$90,0))</f>
        <v>9</v>
      </c>
    </row>
    <row r="70" spans="1:48">
      <c r="A70" s="143" t="s">
        <v>152</v>
      </c>
      <c r="B70" s="157">
        <v>55030</v>
      </c>
      <c r="C70" s="165">
        <v>55678</v>
      </c>
      <c r="D70" s="49">
        <f>INDEX(Parameters!$D$79:$D$90,MATCH(Inputs!A70,Parameters!$C$79:$C$90,0))</f>
        <v>8</v>
      </c>
    </row>
    <row r="71" spans="1:48">
      <c r="A71" s="144" t="s">
        <v>153</v>
      </c>
      <c r="B71" s="158">
        <v>63427</v>
      </c>
      <c r="C71" s="167">
        <v>63572</v>
      </c>
      <c r="D71" s="49">
        <f>INDEX(Parameters!$D$79:$D$90,MATCH(Inputs!A71,Parameters!$C$79:$C$90,0))</f>
        <v>7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14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300000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6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43221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8</v>
      </c>
      <c r="I4" s="137" t="str">
        <f>IFERROR(VLOOKUP(Inputs!E7,Parameters!$J$77:$K$81,2,0),"")</f>
        <v>Yes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120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450000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24000</v>
      </c>
      <c r="S14" s="63">
        <f>IFERROR(D14*INDEX(Parameters!$A$22:$P$29,MATCH(Calculations!$A14,Parameters!$A$22:$A$29,0),MATCH(Parameters!$N$22,Parameters!$A$22:$P$22,0)),"")</f>
        <v>36000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6</v>
      </c>
      <c r="E15" s="16">
        <f>Inputs!D20</f>
        <v>6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2.631578947368421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7.894736842105264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492750.0000000001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6000</v>
      </c>
      <c r="S15" s="64">
        <f>IFERROR(D15*INDEX(Parameters!$A$22:$P$29,MATCH(Calculations!$A15,Parameters!$A$22:$A$29,0),MATCH(Parameters!$N$22,Parameters!$A$22:$P$22,0)),"")</f>
        <v>36000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55624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43148</v>
      </c>
      <c r="C33" s="27">
        <f>IF(B33&lt;&gt;"",IF(COUNT($A$33:A33)&lt;=$G$39,0,$G$41)+IF(COUNT($A$33:A33)&lt;=$G$40,0,$G$42),0)</f>
        <v>55000</v>
      </c>
      <c r="D33" s="170">
        <f>IFERROR(DATE(YEAR(B33),MONTH(B33),1)," ")</f>
        <v>43132</v>
      </c>
      <c r="F33" t="s">
        <v>159</v>
      </c>
      <c r="G33" s="128">
        <f>IF(Inputs!B79="","",DATE(YEAR(Inputs!B79),MONTH(Inputs!B79),DAY(Inputs!B79)))</f>
        <v>43117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43176</v>
      </c>
      <c r="C34" s="27">
        <f>IF(B34&lt;&gt;"",IF(COUNT($A$33:A34)&lt;=$G$39,0,$G$41)+IF(COUNT($A$33:A34)&lt;=$G$40,0,$G$42),0)</f>
        <v>55000</v>
      </c>
      <c r="D34" s="170">
        <f>IFERROR(DATE(YEAR(B34),MONTH(B34),1)," ")</f>
        <v>43160</v>
      </c>
      <c r="F34" t="s">
        <v>160</v>
      </c>
      <c r="G34" s="128">
        <f>IF(Inputs!B80="","",DATE(YEAR(Inputs!B80),MONTH(Inputs!B80),DAY(Inputs!B80)))</f>
        <v>43148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43207</v>
      </c>
      <c r="C35" s="27">
        <f>IF(B35&lt;&gt;"",IF(COUNT($A$33:A35)&lt;=$G$39,0,$G$41)+IF(COUNT($A$33:A35)&lt;=$G$40,0,$G$42),0)</f>
        <v>55000</v>
      </c>
      <c r="D35" s="170">
        <f>IFERROR(DATE(YEAR(B35),MONTH(B35),1)," ")</f>
        <v>43191</v>
      </c>
      <c r="F35" t="s">
        <v>162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43237</v>
      </c>
      <c r="C36" s="27">
        <f>IF(B36&lt;&gt;"",IF(COUNT($A$33:A36)&lt;=$G$39,0,$G$41)+IF(COUNT($A$33:A36)&lt;=$G$40,0,$G$42),0)</f>
        <v>55000</v>
      </c>
      <c r="D36" s="170">
        <f>IFERROR(DATE(YEAR(B36),MONTH(B36),1)," ")</f>
        <v>43221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43268</v>
      </c>
      <c r="C37" s="27">
        <f>IF(B37&lt;&gt;"",IF(COUNT($A$33:A37)&lt;=$G$39,0,$G$41)+IF(COUNT($A$33:A37)&lt;=$G$40,0,$G$42),0)</f>
        <v>55000</v>
      </c>
      <c r="D37" s="170">
        <f>IFERROR(DATE(YEAR(B37),MONTH(B37),1)," ")</f>
        <v>43252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43298</v>
      </c>
      <c r="C38" s="27">
        <f>IF(B38&lt;&gt;"",IF(COUNT($A$33:A38)&lt;=$G$39,0,$G$41)+IF(COUNT($A$33:A38)&lt;=$G$40,0,$G$42),0)</f>
        <v>55000</v>
      </c>
      <c r="D38" s="170">
        <f>IFERROR(DATE(YEAR(B38),MONTH(B38),1)," ")</f>
        <v>43282</v>
      </c>
      <c r="F38" t="s">
        <v>225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226</v>
      </c>
      <c r="G41" s="73">
        <f>IFERROR(G35/(G38-G39),"")</f>
        <v>50000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227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108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108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312</v>
      </c>
      <c r="H52" s="12" t="s">
        <v>127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228</v>
      </c>
      <c r="E53" s="10" t="s">
        <v>187</v>
      </c>
      <c r="F53" s="10" t="s">
        <v>247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165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224</v>
      </c>
      <c r="J76" s="11" t="s">
        <v>346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109</v>
      </c>
      <c r="H77" s="12" t="s">
        <v>127</v>
      </c>
      <c r="I77" s="12" t="s">
        <v>348</v>
      </c>
      <c r="J77" s="136" t="s">
        <v>349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165</v>
      </c>
      <c r="J79" s="70" t="s">
        <v>360</v>
      </c>
      <c r="K79" s="12" t="s">
        <v>93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153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