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<sst xmlns="http://schemas.openxmlformats.org/spreadsheetml/2006/main" uniqueCount="368">
  <si>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</si>
  <si>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</si>
  <si>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</si>
  <si>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</si>
  <si>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</si>
  <si>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</si>
  <si>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</si>
  <si>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</si>
  <si>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</si>
  <si>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</si>
  <si>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</si>
  <si>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</si>
  <si>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</si>
  <si>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</si>
  <si>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</si>
  <si>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</si>
  <si>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</si>
  <si>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</si>
  <si>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</si>
  <si>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</si>
  <si>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</si>
  <si>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</si>
  <si>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</si>
  <si>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</si>
  <si>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</si>
  <si>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</si>
  <si>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</si>
  <si>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</si>
  <si>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</si>
  <si>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</si>
  <si>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</si>
  <si>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</si>
  <si>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</si>
  <si>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</si>
  <si>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</si>
  <si>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</si>
  <si>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</si>
  <si>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</si>
  <si>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</si>
  <si>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</si>
  <si>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</si>
  <si>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</si>
  <si>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</si>
  <si>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</si>
  <si>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</si>
  <si>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</si>
  <si>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</si>
  <si>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</si>
  <si>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</si>
  <si>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</si>
  <si>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</si>
  <si>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</si>
  <si>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</si>
  <si>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</si>
  <si>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</si>
  <si>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</si>
  <si>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</si>
  <si>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</si>
  <si>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</si>
  <si>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</si>
  <si>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</si>
  <si>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</si>
  <si>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</si>
  <si>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</si>
  <si>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</si>
  <si>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</si>
  <si>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</si>
  <si>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</si>
  <si>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</si>
  <si>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</si>
  <si>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</si>
  <si>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</si>
  <si>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</si>
  <si>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</si>
  <si>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</si>
  <si>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</si>
  <si>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</si>
  <si>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</si>
  <si>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</si>
  <si>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</si>
  <si>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</si>
  <si>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</si>
  <si>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</si>
  <si>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</si>
  <si>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</si>
  <si>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</si>
  <si>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</si>
  <si>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</si>
  <si>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</si>
  <si>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</si>
  <si>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</si>
  <si>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</si>
  <si>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</si>
  <si>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</si>
  <si>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</si>
  <si>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</si>
  <si>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</si>
  <si>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</si>
  <si>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</si>
  <si>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</si>
  <si>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</si>
  <si>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</si>
  <si>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</si>
  <si>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</si>
  <si>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</si>
  <si>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</si>
  <si>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</si>
  <si>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</si>
  <si>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</si>
  <si>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</si>
  <si>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</si>
  <si>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</si>
  <si>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</si>
  <si>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</si>
  <si>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</si>
  <si>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</si>
  <si>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</si>
  <si>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</si>
  <si>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</si>
  <si>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</si>
  <si>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</si>
  <si>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</si>
  <si>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</si>
  <si>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</si>
  <si>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</si>
  <si>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</si>
  <si>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</si>
  <si>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</si>
  <si>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</si>
  <si>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</si>
  <si>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</si>
  <si>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</si>
  <si>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</si>
  <si>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</si>
  <si>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4/18/2017</t>
  </si>
  <si>
    <t>KWFT</t>
  </si>
  <si>
    <t>Performing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</si>
  <si>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</si>
  <si>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</si>
  <si>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</si>
  <si>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</si>
  <si>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</si>
  <si>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</si>
  <si>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</si>
  <si>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</si>
  <si>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</si>
  <si>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</si>
  <si>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</si>
  <si>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</si>
  <si>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2018/1/17</t>
  </si>
  <si>
    <t>Loan terms</t>
  </si>
  <si>
    <t>Expected disbursement date</t>
  </si>
  <si>
    <t>2018/1/22</t>
  </si>
  <si>
    <t>Expected first repayment date</t>
  </si>
  <si>
    <t>2018/2/22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</si>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</sst>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August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1.84630631614376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2019</v>
      </c>
    </row>
    <row r="13" spans="1:7">
      <c r="B13" s="1" t="s">
        <v>8</v>
      </c>
      <c r="C13" s="67">
        <f>IFERROR(Output!B107/Output!B101,"")</f>
        <v>0.3614658734093538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21666.66666666667</v>
      </c>
    </row>
    <row r="17" spans="1:7">
      <c r="B17" s="1" t="s">
        <v>11</v>
      </c>
      <c r="C17" s="36">
        <f>SUM(Output!B6:M6)</f>
        <v>-56063.64963503648</v>
      </c>
    </row>
    <row r="18" spans="1:7">
      <c r="B18" s="1" t="s">
        <v>12</v>
      </c>
      <c r="C18" s="36">
        <f>MIN(Output!B6:M6)</f>
        <v>-4671.970802919708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-4671.970802919708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150000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1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-4671.970802919708</v>
      </c>
      <c r="C6" s="51">
        <f>C30-C88</f>
        <v>-4671.970802919708</v>
      </c>
      <c r="D6" s="51">
        <f>D30-D88</f>
        <v>-4671.970802919708</v>
      </c>
      <c r="E6" s="51">
        <f>E30-E88</f>
        <v>-4671.970802919708</v>
      </c>
      <c r="F6" s="51">
        <f>F30-F88</f>
        <v>-4671.970802919708</v>
      </c>
      <c r="G6" s="51">
        <f>G30-G88</f>
        <v>-4671.970802919708</v>
      </c>
      <c r="H6" s="51">
        <f>H30-H88</f>
        <v>-4671.970802919708</v>
      </c>
      <c r="I6" s="51">
        <f>I30-I88</f>
        <v>-4671.970802919708</v>
      </c>
      <c r="J6" s="51">
        <f>J30-J88</f>
        <v>-4671.970802919708</v>
      </c>
      <c r="K6" s="51">
        <f>K30-K88</f>
        <v>-4671.970802919708</v>
      </c>
      <c r="L6" s="51">
        <f>L30-L88</f>
        <v>-4671.970802919708</v>
      </c>
      <c r="M6" s="51">
        <f>M30-M88</f>
        <v>-4671.970802919708</v>
      </c>
      <c r="N6" s="51">
        <f>N30-N88</f>
        <v>-4671.970802919708</v>
      </c>
      <c r="O6" s="51">
        <f>O30-O88</f>
        <v>-4671.970802919708</v>
      </c>
      <c r="P6" s="51">
        <f>P30-P88</f>
        <v>-4671.970802919708</v>
      </c>
      <c r="Q6" s="51">
        <f>Q30-Q88</f>
        <v>-4671.970802919708</v>
      </c>
      <c r="R6" s="51">
        <f>R30-R88</f>
        <v>-4671.970802919708</v>
      </c>
      <c r="S6" s="51">
        <f>S30-S88</f>
        <v>-4671.970802919708</v>
      </c>
      <c r="T6" s="51">
        <f>T30-T88</f>
        <v>-4671.970802919708</v>
      </c>
      <c r="U6" s="51">
        <f>U30-U88</f>
        <v>-4671.970802919708</v>
      </c>
      <c r="V6" s="51">
        <f>V30-V88</f>
        <v>-4671.970802919708</v>
      </c>
      <c r="W6" s="51">
        <f>W30-W88</f>
        <v>-4671.970802919708</v>
      </c>
      <c r="X6" s="51">
        <f>X30-X88</f>
        <v>-4671.970802919708</v>
      </c>
      <c r="Y6" s="51">
        <f>Y30-Y88</f>
        <v>-4671.970802919708</v>
      </c>
      <c r="Z6" s="51">
        <f>SUMIF($B$13:$Y$13,"Yes",B6:Y6)</f>
        <v>-88767.44525547443</v>
      </c>
      <c r="AA6" s="51">
        <f>AA30-AA88</f>
        <v>-56063.64963503648</v>
      </c>
      <c r="AB6" s="51">
        <f>AB30-AB88</f>
        <v>-112127.299270073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-45</v>
      </c>
      <c r="I7" s="80">
        <f>IF(ISERROR(VLOOKUP(MONTH(I5),Inputs!$D$66:$D$71,1,0)),"",INDEX(Inputs!$B$66:$B$71,MATCH(MONTH(Output!I5),Inputs!$D$66:$D$71,0))-INDEX(Inputs!$C$66:$C$71,MATCH(MONTH(Output!I5),Inputs!$D$66:$D$71,0)))</f>
        <v>1475</v>
      </c>
      <c r="J7" s="80">
        <f>IF(ISERROR(VLOOKUP(MONTH(J5),Inputs!$D$66:$D$71,1,0)),"",INDEX(Inputs!$B$66:$B$71,MATCH(MONTH(Output!J5),Inputs!$D$66:$D$71,0))-INDEX(Inputs!$C$66:$C$71,MATCH(MONTH(Output!J5),Inputs!$D$66:$D$71,0)))</f>
        <v>2026</v>
      </c>
      <c r="K7" s="80">
        <f>IF(ISERROR(VLOOKUP(MONTH(K5),Inputs!$D$66:$D$71,1,0)),"",INDEX(Inputs!$B$66:$B$71,MATCH(MONTH(Output!K5),Inputs!$D$66:$D$71,0))-INDEX(Inputs!$C$66:$C$71,MATCH(MONTH(Output!K5),Inputs!$D$66:$D$71,0)))</f>
        <v>-1017</v>
      </c>
      <c r="L7" s="80">
        <f>IF(ISERROR(VLOOKUP(MONTH(L5),Inputs!$D$66:$D$71,1,0)),"",INDEX(Inputs!$B$66:$B$71,MATCH(MONTH(Output!L5),Inputs!$D$66:$D$71,0))-INDEX(Inputs!$C$66:$C$71,MATCH(MONTH(Output!L5),Inputs!$D$66:$D$71,0)))</f>
        <v>171</v>
      </c>
      <c r="M7" s="80">
        <f>IF(ISERROR(VLOOKUP(MONTH(M5),Inputs!$D$66:$D$71,1,0)),"",INDEX(Inputs!$B$66:$B$71,MATCH(MONTH(Output!M5),Inputs!$D$66:$D$71,0))-INDEX(Inputs!$C$66:$C$71,MATCH(MONTH(Output!M5),Inputs!$D$66:$D$71,0)))</f>
        <v>258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-45</v>
      </c>
      <c r="U7" s="80">
        <f>IF(ISERROR(VLOOKUP(MONTH(U5),Inputs!$D$66:$D$71,1,0)),"",INDEX(Inputs!$B$66:$B$71,MATCH(MONTH(Output!U5),Inputs!$D$66:$D$71,0))-INDEX(Inputs!$C$66:$C$71,MATCH(MONTH(Output!U5),Inputs!$D$66:$D$71,0)))</f>
        <v>1475</v>
      </c>
      <c r="V7" s="80">
        <f>IF(ISERROR(VLOOKUP(MONTH(V5),Inputs!$D$66:$D$71,1,0)),"",INDEX(Inputs!$B$66:$B$71,MATCH(MONTH(Output!V5),Inputs!$D$66:$D$71,0))-INDEX(Inputs!$C$66:$C$71,MATCH(MONTH(Output!V5),Inputs!$D$66:$D$71,0)))</f>
        <v>2026</v>
      </c>
      <c r="W7" s="80">
        <f>IF(ISERROR(VLOOKUP(MONTH(W5),Inputs!$D$66:$D$71,1,0)),"",INDEX(Inputs!$B$66:$B$71,MATCH(MONTH(Output!W5),Inputs!$D$66:$D$71,0))-INDEX(Inputs!$C$66:$C$71,MATCH(MONTH(Output!W5),Inputs!$D$66:$D$71,0)))</f>
        <v>-1017</v>
      </c>
      <c r="X7" s="80">
        <f>IF(ISERROR(VLOOKUP(MONTH(X5),Inputs!$D$66:$D$71,1,0)),"",INDEX(Inputs!$B$66:$B$71,MATCH(MONTH(Output!X5),Inputs!$D$66:$D$71,0))-INDEX(Inputs!$C$66:$C$71,MATCH(MONTH(Output!X5),Inputs!$D$66:$D$71,0)))</f>
        <v>171</v>
      </c>
      <c r="Y7" s="80">
        <f>IF(ISERROR(VLOOKUP(MONTH(Y5),Inputs!$D$66:$D$71,1,0)),"",INDEX(Inputs!$B$66:$B$71,MATCH(MONTH(Output!Y5),Inputs!$D$66:$D$71,0))-INDEX(Inputs!$C$66:$C$71,MATCH(MONTH(Output!Y5),Inputs!$D$66:$D$71,0)))</f>
        <v>258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21666.66666666667</v>
      </c>
      <c r="D10" s="37">
        <f>SUMPRODUCT((Calculations!$D$33:$D$84=Output!D5)+0,Calculations!$C$33:$C$84)</f>
        <v>21666.66666666667</v>
      </c>
      <c r="E10" s="37">
        <f>SUMPRODUCT((Calculations!$D$33:$D$84=Output!E5)+0,Calculations!$C$33:$C$84)</f>
        <v>21666.66666666667</v>
      </c>
      <c r="F10" s="37">
        <f>SUMPRODUCT((Calculations!$D$33:$D$84=Output!F5)+0,Calculations!$C$33:$C$84)</f>
        <v>21666.66666666667</v>
      </c>
      <c r="G10" s="37">
        <f>SUMPRODUCT((Calculations!$D$33:$D$84=Output!G5)+0,Calculations!$C$33:$C$84)</f>
        <v>21666.66666666667</v>
      </c>
      <c r="H10" s="37">
        <f>SUMPRODUCT((Calculations!$D$33:$D$84=Output!H5)+0,Calculations!$C$33:$C$84)</f>
        <v>21666.66666666667</v>
      </c>
      <c r="I10" s="37">
        <f>SUMPRODUCT((Calculations!$D$33:$D$84=Output!I5)+0,Calculations!$C$33:$C$84)</f>
        <v>21666.66666666667</v>
      </c>
      <c r="J10" s="37">
        <f>SUMPRODUCT((Calculations!$D$33:$D$84=Output!J5)+0,Calculations!$C$33:$C$84)</f>
        <v>21666.66666666667</v>
      </c>
      <c r="K10" s="37">
        <f>SUMPRODUCT((Calculations!$D$33:$D$84=Output!K5)+0,Calculations!$C$33:$C$84)</f>
        <v>21666.66666666667</v>
      </c>
      <c r="L10" s="37">
        <f>SUMPRODUCT((Calculations!$D$33:$D$84=Output!L5)+0,Calculations!$C$33:$C$84)</f>
        <v>21666.66666666667</v>
      </c>
      <c r="M10" s="37">
        <f>SUMPRODUCT((Calculations!$D$33:$D$84=Output!M5)+0,Calculations!$C$33:$C$84)</f>
        <v>21666.66666666667</v>
      </c>
      <c r="N10" s="37">
        <f>SUMPRODUCT((Calculations!$D$33:$D$84=Output!N5)+0,Calculations!$C$33:$C$84)</f>
        <v>21666.66666666667</v>
      </c>
      <c r="O10" s="37">
        <f>SUMPRODUCT((Calculations!$D$33:$D$84=Output!O5)+0,Calculations!$C$33:$C$84)</f>
        <v>21666.66666666667</v>
      </c>
      <c r="P10" s="37">
        <f>SUMPRODUCT((Calculations!$D$33:$D$84=Output!P5)+0,Calculations!$C$33:$C$84)</f>
        <v>21666.66666666667</v>
      </c>
      <c r="Q10" s="37">
        <f>SUMPRODUCT((Calculations!$D$33:$D$84=Output!Q5)+0,Calculations!$C$33:$C$84)</f>
        <v>21666.66666666667</v>
      </c>
      <c r="R10" s="37">
        <f>SUMPRODUCT((Calculations!$D$33:$D$84=Output!R5)+0,Calculations!$C$33:$C$84)</f>
        <v>21666.66666666667</v>
      </c>
      <c r="S10" s="37">
        <f>SUMPRODUCT((Calculations!$D$33:$D$84=Output!S5)+0,Calculations!$C$33:$C$84)</f>
        <v>21666.66666666667</v>
      </c>
      <c r="T10" s="37">
        <f>SUMPRODUCT((Calculations!$D$33:$D$84=Output!T5)+0,Calculations!$C$33:$C$84)</f>
        <v>21666.66666666667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390000.0000000001</v>
      </c>
      <c r="AA10" s="37">
        <f>SUM(B10:M10)</f>
        <v>238333.3333333333</v>
      </c>
      <c r="AB10" s="37">
        <f>SUM(B10:Y10)</f>
        <v>390000.0000000001</v>
      </c>
    </row>
    <row r="11" spans="1:30" customHeight="1" ht="15.75">
      <c r="A11" s="43" t="s">
        <v>31</v>
      </c>
      <c r="B11" s="80">
        <f>B6+B9-B10</f>
        <v>295328.0291970803</v>
      </c>
      <c r="C11" s="80">
        <f>C6+C9-C10</f>
        <v>-26338.63746958638</v>
      </c>
      <c r="D11" s="80">
        <f>D6+D9-D10</f>
        <v>-26338.63746958638</v>
      </c>
      <c r="E11" s="80">
        <f>E6+E9-E10</f>
        <v>-26338.63746958638</v>
      </c>
      <c r="F11" s="80">
        <f>F6+F9-F10</f>
        <v>-26338.63746958638</v>
      </c>
      <c r="G11" s="80">
        <f>G6+G9-G10</f>
        <v>-26338.63746958638</v>
      </c>
      <c r="H11" s="80">
        <f>H6+H9-H10</f>
        <v>-26338.63746958638</v>
      </c>
      <c r="I11" s="80">
        <f>I6+I9-I10</f>
        <v>-26338.63746958638</v>
      </c>
      <c r="J11" s="80">
        <f>J6+J9-J10</f>
        <v>-26338.63746958638</v>
      </c>
      <c r="K11" s="80">
        <f>K6+K9-K10</f>
        <v>-26338.63746958638</v>
      </c>
      <c r="L11" s="80">
        <f>L6+L9-L10</f>
        <v>-26338.63746958638</v>
      </c>
      <c r="M11" s="80">
        <f>M6+M9-M10</f>
        <v>-26338.63746958638</v>
      </c>
      <c r="N11" s="80">
        <f>N6+N9-N10</f>
        <v>-26338.63746958638</v>
      </c>
      <c r="O11" s="80">
        <f>O6+O9-O10</f>
        <v>-26338.63746958638</v>
      </c>
      <c r="P11" s="80">
        <f>P6+P9-P10</f>
        <v>-26338.63746958638</v>
      </c>
      <c r="Q11" s="80">
        <f>Q6+Q9-Q10</f>
        <v>-26338.63746958638</v>
      </c>
      <c r="R11" s="80">
        <f>R6+R9-R10</f>
        <v>-26338.63746958638</v>
      </c>
      <c r="S11" s="80">
        <f>S6+S9-S10</f>
        <v>-26338.63746958638</v>
      </c>
      <c r="T11" s="80">
        <f>T6+T9-T10</f>
        <v>-26338.63746958638</v>
      </c>
      <c r="U11" s="80">
        <f>U6+U9-U10</f>
        <v>-4671.970802919708</v>
      </c>
      <c r="V11" s="80">
        <f>V6+V9-V10</f>
        <v>-4671.970802919708</v>
      </c>
      <c r="W11" s="80">
        <f>W6+W9-W10</f>
        <v>-4671.970802919708</v>
      </c>
      <c r="X11" s="80">
        <f>X6+X9-X10</f>
        <v>-4671.970802919708</v>
      </c>
      <c r="Y11" s="80">
        <f>Y6+Y9-Y10</f>
        <v>-4671.970802919708</v>
      </c>
      <c r="Z11" s="85">
        <f>SUMIF($B$13:$Y$13,"Yes",B11:Y11)</f>
        <v>-178767.4452554746</v>
      </c>
      <c r="AA11" s="80">
        <f>SUM(B11:M11)</f>
        <v>5603.01703163005</v>
      </c>
      <c r="AB11" s="46">
        <f>SUM(B11:Y11)</f>
        <v>-202127.2992700731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0.07454400498779337</v>
      </c>
      <c r="D12" s="82">
        <f>IF(D13="Yes",IF(SUM($B$10:D10)/(SUM($B$6:D6)+SUM($B$9:D9))&lt;0,999.99,SUM($B$10:D10)/(SUM($B$6:D6)+SUM($B$9:D9))),"")</f>
        <v>0.1515235819528182</v>
      </c>
      <c r="E12" s="82">
        <f>IF(E13="Yes",IF(SUM($B$10:E10)/(SUM($B$6:E6)+SUM($B$9:E9))&lt;0,999.99,SUM($B$10:E10)/(SUM($B$6:E6)+SUM($B$9:E9))),"")</f>
        <v>0.231060079253218</v>
      </c>
      <c r="F12" s="82">
        <f>IF(F13="Yes",IF(SUM($B$10:F10)/(SUM($B$6:F6)+SUM($B$9:F9))&lt;0,999.99,SUM($B$10:F10)/(SUM($B$6:F6)+SUM($B$9:F9))),"")</f>
        <v>0.3132830426977874</v>
      </c>
      <c r="G12" s="82">
        <f>IF(G13="Yes",IF(SUM($B$10:G10)/(SUM($B$6:G6)+SUM($B$9:G9))&lt;0,999.99,SUM($B$10:G10)/(SUM($B$6:G6)+SUM($B$9:G9))),"")</f>
        <v>0.3983309196403043</v>
      </c>
      <c r="H12" s="82">
        <f>IF(H13="Yes",IF(SUM($B$10:H10)/(SUM($B$6:H6)+SUM($B$9:H9))&lt;0,999.99,SUM($B$10:H10)/(SUM($B$6:H6)+SUM($B$9:H9))),"")</f>
        <v>0.4863518369134764</v>
      </c>
      <c r="I12" s="82">
        <f>IF(I13="Yes",IF(SUM($B$10:I10)/(SUM($B$6:I6)+SUM($B$9:I9))&lt;0,999.99,SUM($B$10:I10)/(SUM($B$6:I6)+SUM($B$9:I9))),"")</f>
        <v>0.5775044617975263</v>
      </c>
      <c r="J12" s="82">
        <f>IF(J13="Yes",IF(SUM($B$10:J10)/(SUM($B$6:J6)+SUM($B$9:J9))&lt;0,999.99,SUM($B$10:J10)/(SUM($B$6:J6)+SUM($B$9:J9))),"")</f>
        <v>0.6719589565507414</v>
      </c>
      <c r="K12" s="82">
        <f>IF(K13="Yes",IF(SUM($B$10:K10)/(SUM($B$6:K6)+SUM($B$9:K9))&lt;0,999.99,SUM($B$10:K10)/(SUM($B$6:K6)+SUM($B$9:K9))),"")</f>
        <v>0.7698980385827997</v>
      </c>
      <c r="L12" s="82">
        <f>IF(L13="Yes",IF(SUM($B$10:L10)/(SUM($B$6:L6)+SUM($B$9:L9))&lt;0,999.99,SUM($B$10:L10)/(SUM($B$6:L6)+SUM($B$9:L9))),"")</f>
        <v>0.8715181601679107</v>
      </c>
      <c r="M12" s="82">
        <f>IF(M13="Yes",IF(SUM($B$10:M10)/(SUM($B$6:M6)+SUM($B$9:M9))&lt;0,999.99,SUM($B$10:M10)/(SUM($B$6:M6)+SUM($B$9:M9))),"")</f>
        <v>0.9770308237241095</v>
      </c>
      <c r="N12" s="82">
        <f>IF(N13="Yes",IF(SUM($B$10:N10)/(SUM($B$6:N6)+SUM($B$9:N9))&lt;0,999.99,SUM($B$10:N10)/(SUM($B$6:N6)+SUM($B$9:N9))),"")</f>
        <v>1.086664051188527</v>
      </c>
      <c r="O12" s="82">
        <f>IF(O13="Yes",IF(SUM($B$10:O10)/(SUM($B$6:O6)+SUM($B$9:O9))&lt;0,999.99,SUM($B$10:O10)/(SUM($B$6:O6)+SUM($B$9:O9))),"")</f>
        <v>1.20066402897068</v>
      </c>
      <c r="P12" s="82">
        <f>IF(P13="Yes",IF(SUM($B$10:P10)/(SUM($B$6:P6)+SUM($B$9:P9))&lt;0,999.99,SUM($B$10:P10)/(SUM($B$6:P6)+SUM($B$9:P9))),"")</f>
        <v>1.319296953457929</v>
      </c>
      <c r="Q12" s="82">
        <f>IF(Q13="Yes",IF(SUM($B$10:Q10)/(SUM($B$6:Q6)+SUM($B$9:Q9))&lt;0,999.99,SUM($B$10:Q10)/(SUM($B$6:Q6)+SUM($B$9:Q9))),"")</f>
        <v>1.442851106191249</v>
      </c>
      <c r="R12" s="82">
        <f>IF(R13="Yes",IF(SUM($B$10:R10)/(SUM($B$6:R6)+SUM($B$9:R9))&lt;0,999.99,SUM($B$10:R10)/(SUM($B$6:R6)+SUM($B$9:R9))),"")</f>
        <v>1.5716391927634</v>
      </c>
      <c r="S12" s="82">
        <f>IF(S13="Yes",IF(SUM($B$10:S10)/(SUM($B$6:S6)+SUM($B$9:S9))&lt;0,999.99,SUM($B$10:S10)/(SUM($B$6:S6)+SUM($B$9:S9))),"")</f>
        <v>1.70600098538644</v>
      </c>
      <c r="T12" s="82">
        <f>IF(T13="Yes",IF(SUM($B$10:T10)/(SUM($B$6:T6)+SUM($B$9:T9))&lt;0,999.99,SUM($B$10:T10)/(SUM($B$6:T6)+SUM($B$9:T9))),"")</f>
        <v>1.84630631614376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4671.970802919708</v>
      </c>
      <c r="C82" s="46">
        <f>SUM(C83:C87)</f>
        <v>4671.970802919708</v>
      </c>
      <c r="D82" s="46">
        <f>SUM(D83:D87)</f>
        <v>4671.970802919708</v>
      </c>
      <c r="E82" s="46">
        <f>SUM(E83:E87)</f>
        <v>4671.970802919708</v>
      </c>
      <c r="F82" s="46">
        <f>SUM(F83:F87)</f>
        <v>4671.970802919708</v>
      </c>
      <c r="G82" s="46">
        <f>SUM(G83:G87)</f>
        <v>4671.970802919708</v>
      </c>
      <c r="H82" s="46">
        <f>SUM(H83:H87)</f>
        <v>4671.970802919708</v>
      </c>
      <c r="I82" s="46">
        <f>SUM(I83:I87)</f>
        <v>4671.970802919708</v>
      </c>
      <c r="J82" s="46">
        <f>SUM(J83:J87)</f>
        <v>4671.970802919708</v>
      </c>
      <c r="K82" s="46">
        <f>SUM(K83:K87)</f>
        <v>4671.970802919708</v>
      </c>
      <c r="L82" s="46">
        <f>SUM(L83:L87)</f>
        <v>4671.970802919708</v>
      </c>
      <c r="M82" s="46">
        <f>SUM(M83:M87)</f>
        <v>4671.970802919708</v>
      </c>
      <c r="N82" s="46">
        <f>SUM(N83:N87)</f>
        <v>4671.970802919708</v>
      </c>
      <c r="O82" s="46">
        <f>SUM(O83:O87)</f>
        <v>4671.970802919708</v>
      </c>
      <c r="P82" s="46">
        <f>SUM(P83:P87)</f>
        <v>4671.970802919708</v>
      </c>
      <c r="Q82" s="46">
        <f>SUM(Q83:Q87)</f>
        <v>4671.970802919708</v>
      </c>
      <c r="R82" s="46">
        <f>SUM(R83:R87)</f>
        <v>4671.970802919708</v>
      </c>
      <c r="S82" s="46">
        <f>SUM(S83:S87)</f>
        <v>4671.970802919708</v>
      </c>
      <c r="T82" s="46">
        <f>SUM(T83:T87)</f>
        <v>4671.970802919708</v>
      </c>
      <c r="U82" s="46">
        <f>SUM(U83:U87)</f>
        <v>4671.970802919708</v>
      </c>
      <c r="V82" s="46">
        <f>SUM(V83:V87)</f>
        <v>4671.970802919708</v>
      </c>
      <c r="W82" s="46">
        <f>SUM(W83:W87)</f>
        <v>4671.970802919708</v>
      </c>
      <c r="X82" s="46">
        <f>SUM(X83:X87)</f>
        <v>4671.970802919708</v>
      </c>
      <c r="Y82" s="46">
        <f>SUM(Y83:Y87)</f>
        <v>4671.970802919708</v>
      </c>
      <c r="Z82" s="46">
        <f>SUMIF($B$13:$Y$13,"Yes",B82:Y82)</f>
        <v>88767.44525547443</v>
      </c>
      <c r="AA82" s="46">
        <f>SUM(B82:M82)</f>
        <v>56063.64963503648</v>
      </c>
      <c r="AB82" s="46">
        <f>SUM(B82:Y82)</f>
        <v>112127.299270073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4671.970802919708</v>
      </c>
      <c r="C83" s="46">
        <f>IF(Calculations!$E23&gt;COUNT(Output!$B$35:C$35),Calculations!$B23,IF(Calculations!$E23=COUNT(Output!$B$35:C$35),Inputs!$B56-Calculations!$C23*(Calculations!$E23-1)+Calculations!$D23,0))</f>
        <v>4671.970802919708</v>
      </c>
      <c r="D83" s="46">
        <f>IF(Calculations!$E23&gt;COUNT(Output!$B$35:D$35),Calculations!$B23,IF(Calculations!$E23=COUNT(Output!$B$35:D$35),Inputs!$B56-Calculations!$C23*(Calculations!$E23-1)+Calculations!$D23,0))</f>
        <v>4671.970802919708</v>
      </c>
      <c r="E83" s="46">
        <f>IF(Calculations!$E23&gt;COUNT(Output!$B$35:E$35),Calculations!$B23,IF(Calculations!$E23=COUNT(Output!$B$35:E$35),Inputs!$B56-Calculations!$C23*(Calculations!$E23-1)+Calculations!$D23,0))</f>
        <v>4671.970802919708</v>
      </c>
      <c r="F83" s="46">
        <f>IF(Calculations!$E23&gt;COUNT(Output!$B$35:F$35),Calculations!$B23,IF(Calculations!$E23=COUNT(Output!$B$35:F$35),Inputs!$B56-Calculations!$C23*(Calculations!$E23-1)+Calculations!$D23,0))</f>
        <v>4671.970802919708</v>
      </c>
      <c r="G83" s="46">
        <f>IF(Calculations!$E23&gt;COUNT(Output!$B$35:G$35),Calculations!$B23,IF(Calculations!$E23=COUNT(Output!$B$35:G$35),Inputs!$B56-Calculations!$C23*(Calculations!$E23-1)+Calculations!$D23,0))</f>
        <v>4671.970802919708</v>
      </c>
      <c r="H83" s="46">
        <f>IF(Calculations!$E23&gt;COUNT(Output!$B$35:H$35),Calculations!$B23,IF(Calculations!$E23=COUNT(Output!$B$35:H$35),Inputs!$B56-Calculations!$C23*(Calculations!$E23-1)+Calculations!$D23,0))</f>
        <v>4671.970802919708</v>
      </c>
      <c r="I83" s="46">
        <f>IF(Calculations!$E23&gt;COUNT(Output!$B$35:I$35),Calculations!$B23,IF(Calculations!$E23=COUNT(Output!$B$35:I$35),Inputs!$B56-Calculations!$C23*(Calculations!$E23-1)+Calculations!$D23,0))</f>
        <v>4671.970802919708</v>
      </c>
      <c r="J83" s="46">
        <f>IF(Calculations!$E23&gt;COUNT(Output!$B$35:J$35),Calculations!$B23,IF(Calculations!$E23=COUNT(Output!$B$35:J$35),Inputs!$B56-Calculations!$C23*(Calculations!$E23-1)+Calculations!$D23,0))</f>
        <v>4671.970802919708</v>
      </c>
      <c r="K83" s="46">
        <f>IF(Calculations!$E23&gt;COUNT(Output!$B$35:K$35),Calculations!$B23,IF(Calculations!$E23=COUNT(Output!$B$35:K$35),Inputs!$B56-Calculations!$C23*(Calculations!$E23-1)+Calculations!$D23,0))</f>
        <v>4671.970802919708</v>
      </c>
      <c r="L83" s="46">
        <f>IF(Calculations!$E23&gt;COUNT(Output!$B$35:L$35),Calculations!$B23,IF(Calculations!$E23=COUNT(Output!$B$35:L$35),Inputs!$B56-Calculations!$C23*(Calculations!$E23-1)+Calculations!$D23,0))</f>
        <v>4671.970802919708</v>
      </c>
      <c r="M83" s="46">
        <f>IF(Calculations!$E23&gt;COUNT(Output!$B$35:M$35),Calculations!$B23,IF(Calculations!$E23=COUNT(Output!$B$35:M$35),Inputs!$B56-Calculations!$C23*(Calculations!$E23-1)+Calculations!$D23,0))</f>
        <v>4671.970802919708</v>
      </c>
      <c r="N83" s="46">
        <f>IF(Calculations!$E23&gt;COUNT(Output!$B$35:N$35),Calculations!$B23,IF(Calculations!$E23=COUNT(Output!$B$35:N$35),Inputs!$B56-Calculations!$C23*(Calculations!$E23-1)+Calculations!$D23,0))</f>
        <v>4671.970802919708</v>
      </c>
      <c r="O83" s="46">
        <f>IF(Calculations!$E23&gt;COUNT(Output!$B$35:O$35),Calculations!$B23,IF(Calculations!$E23=COUNT(Output!$B$35:O$35),Inputs!$B56-Calculations!$C23*(Calculations!$E23-1)+Calculations!$D23,0))</f>
        <v>4671.970802919708</v>
      </c>
      <c r="P83" s="46">
        <f>IF(Calculations!$E23&gt;COUNT(Output!$B$35:P$35),Calculations!$B23,IF(Calculations!$E23=COUNT(Output!$B$35:P$35),Inputs!$B56-Calculations!$C23*(Calculations!$E23-1)+Calculations!$D23,0))</f>
        <v>4671.970802919708</v>
      </c>
      <c r="Q83" s="46">
        <f>IF(Calculations!$E23&gt;COUNT(Output!$B$35:Q$35),Calculations!$B23,IF(Calculations!$E23=COUNT(Output!$B$35:Q$35),Inputs!$B56-Calculations!$C23*(Calculations!$E23-1)+Calculations!$D23,0))</f>
        <v>4671.970802919708</v>
      </c>
      <c r="R83" s="46">
        <f>IF(Calculations!$E23&gt;COUNT(Output!$B$35:R$35),Calculations!$B23,IF(Calculations!$E23=COUNT(Output!$B$35:R$35),Inputs!$B56-Calculations!$C23*(Calculations!$E23-1)+Calculations!$D23,0))</f>
        <v>4671.970802919708</v>
      </c>
      <c r="S83" s="46">
        <f>IF(Calculations!$E23&gt;COUNT(Output!$B$35:S$35),Calculations!$B23,IF(Calculations!$E23=COUNT(Output!$B$35:S$35),Inputs!$B56-Calculations!$C23*(Calculations!$E23-1)+Calculations!$D23,0))</f>
        <v>4671.970802919708</v>
      </c>
      <c r="T83" s="46">
        <f>IF(Calculations!$E23&gt;COUNT(Output!$B$35:T$35),Calculations!$B23,IF(Calculations!$E23=COUNT(Output!$B$35:T$35),Inputs!$B56-Calculations!$C23*(Calculations!$E23-1)+Calculations!$D23,0))</f>
        <v>4671.970802919708</v>
      </c>
      <c r="U83" s="46">
        <f>IF(Calculations!$E23&gt;COUNT(Output!$B$35:U$35),Calculations!$B23,IF(Calculations!$E23=COUNT(Output!$B$35:U$35),Inputs!$B56-Calculations!$C23*(Calculations!$E23-1)+Calculations!$D23,0))</f>
        <v>4671.970802919708</v>
      </c>
      <c r="V83" s="46">
        <f>IF(Calculations!$E23&gt;COUNT(Output!$B$35:V$35),Calculations!$B23,IF(Calculations!$E23=COUNT(Output!$B$35:V$35),Inputs!$B56-Calculations!$C23*(Calculations!$E23-1)+Calculations!$D23,0))</f>
        <v>4671.970802919708</v>
      </c>
      <c r="W83" s="46">
        <f>IF(Calculations!$E23&gt;COUNT(Output!$B$35:W$35),Calculations!$B23,IF(Calculations!$E23=COUNT(Output!$B$35:W$35),Inputs!$B56-Calculations!$C23*(Calculations!$E23-1)+Calculations!$D23,0))</f>
        <v>4671.970802919708</v>
      </c>
      <c r="X83" s="46">
        <f>IF(Calculations!$E23&gt;COUNT(Output!$B$35:X$35),Calculations!$B23,IF(Calculations!$E23=COUNT(Output!$B$35:X$35),Inputs!$B56-Calculations!$C23*(Calculations!$E23-1)+Calculations!$D23,0))</f>
        <v>4671.970802919708</v>
      </c>
      <c r="Y83" s="46">
        <f>IF(Calculations!$E23&gt;COUNT(Output!$B$35:Y$35),Calculations!$B23,IF(Calculations!$E23=COUNT(Output!$B$35:Y$35),Inputs!$B56-Calculations!$C23*(Calculations!$E23-1)+Calculations!$D23,0))</f>
        <v>4671.970802919708</v>
      </c>
      <c r="Z83" s="46">
        <f>SUMIF($B$13:$Y$13,"Yes",B83:Y83)</f>
        <v>88767.44525547443</v>
      </c>
      <c r="AA83" s="46">
        <f>SUM(B83:M83)</f>
        <v>56063.64963503648</v>
      </c>
      <c r="AB83" s="46">
        <f>SUM(B83:Y83)</f>
        <v>112127.299270073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4671.970802919708</v>
      </c>
      <c r="C88" s="19">
        <f>SUM(C72:C82,C66,C60,C54,C48,C42,C36)</f>
        <v>4671.970802919708</v>
      </c>
      <c r="D88" s="19">
        <f>SUM(D72:D82,D66,D60,D54,D48,D42,D36)</f>
        <v>4671.970802919708</v>
      </c>
      <c r="E88" s="19">
        <f>SUM(E72:E82,E66,E60,E54,E48,E42,E36)</f>
        <v>4671.970802919708</v>
      </c>
      <c r="F88" s="19">
        <f>SUM(F72:F82,F66,F60,F54,F48,F42,F36)</f>
        <v>4671.970802919708</v>
      </c>
      <c r="G88" s="19">
        <f>SUM(G72:G82,G66,G60,G54,G48,G42,G36)</f>
        <v>4671.970802919708</v>
      </c>
      <c r="H88" s="19">
        <f>SUM(H72:H82,H66,H60,H54,H48,H42,H36)</f>
        <v>4671.970802919708</v>
      </c>
      <c r="I88" s="19">
        <f>SUM(I72:I82,I66,I60,I54,I48,I42,I36)</f>
        <v>4671.970802919708</v>
      </c>
      <c r="J88" s="19">
        <f>SUM(J72:J82,J66,J60,J54,J48,J42,J36)</f>
        <v>4671.970802919708</v>
      </c>
      <c r="K88" s="19">
        <f>SUM(K72:K82,K66,K60,K54,K48,K42,K36)</f>
        <v>4671.970802919708</v>
      </c>
      <c r="L88" s="19">
        <f>SUM(L72:L82,L66,L60,L54,L48,L42,L36)</f>
        <v>4671.970802919708</v>
      </c>
      <c r="M88" s="19">
        <f>SUM(M72:M82,M66,M60,M54,M48,M42,M36)</f>
        <v>4671.970802919708</v>
      </c>
      <c r="N88" s="19">
        <f>SUM(N72:N82,N66,N60,N54,N48,N42,N36)</f>
        <v>4671.970802919708</v>
      </c>
      <c r="O88" s="19">
        <f>SUM(O72:O82,O66,O60,O54,O48,O42,O36)</f>
        <v>4671.970802919708</v>
      </c>
      <c r="P88" s="19">
        <f>SUM(P72:P82,P66,P60,P54,P48,P42,P36)</f>
        <v>4671.970802919708</v>
      </c>
      <c r="Q88" s="19">
        <f>SUM(Q72:Q82,Q66,Q60,Q54,Q48,Q42,Q36)</f>
        <v>4671.970802919708</v>
      </c>
      <c r="R88" s="19">
        <f>SUM(R72:R82,R66,R60,R54,R48,R42,R36)</f>
        <v>4671.970802919708</v>
      </c>
      <c r="S88" s="19">
        <f>SUM(S72:S82,S66,S60,S54,S48,S42,S36)</f>
        <v>4671.970802919708</v>
      </c>
      <c r="T88" s="19">
        <f>SUM(T72:T82,T66,T60,T54,T48,T42,T36)</f>
        <v>4671.970802919708</v>
      </c>
      <c r="U88" s="19">
        <f>SUM(U72:U82,U66,U60,U54,U48,U42,U36)</f>
        <v>4671.970802919708</v>
      </c>
      <c r="V88" s="19">
        <f>SUM(V72:V82,V66,V60,V54,V48,V42,V36)</f>
        <v>4671.970802919708</v>
      </c>
      <c r="W88" s="19">
        <f>SUM(W72:W82,W66,W60,W54,W48,W42,W36)</f>
        <v>4671.970802919708</v>
      </c>
      <c r="X88" s="19">
        <f>SUM(X72:X82,X66,X60,X54,X48,X42,X36)</f>
        <v>4671.970802919708</v>
      </c>
      <c r="Y88" s="19">
        <f>SUM(Y72:Y82,Y66,Y60,Y54,Y48,Y42,Y36)</f>
        <v>4671.970802919708</v>
      </c>
      <c r="Z88" s="19">
        <f>SUMIF($B$13:$Y$13,"Yes",B88:Y88)</f>
        <v>88767.44525547443</v>
      </c>
      <c r="AA88" s="19">
        <f>SUM(B88:M88)</f>
        <v>56063.64963503648</v>
      </c>
      <c r="AB88" s="19">
        <f>SUM(B88:Y88)</f>
        <v>112127.299270073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60200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600000</v>
      </c>
    </row>
    <row r="101" spans="1:30" customHeight="1" ht="15.75">
      <c r="A101" s="1" t="s">
        <v>67</v>
      </c>
      <c r="B101" s="19">
        <f>SUM(B94:B100)</f>
        <v>1210200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132446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437446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/>
    </row>
    <row r="42" spans="1:48">
      <c r="A42" s="55" t="s">
        <v>117</v>
      </c>
      <c r="B42" s="139"/>
    </row>
    <row r="43" spans="1:48">
      <c r="A43" s="55" t="s">
        <v>118</v>
      </c>
      <c r="B43" s="160" t="s">
        <v>119</v>
      </c>
    </row>
    <row r="44" spans="1:48">
      <c r="A44" s="56" t="s">
        <v>120</v>
      </c>
      <c r="B44" s="160" t="s">
        <v>115</v>
      </c>
    </row>
    <row r="45" spans="1:48">
      <c r="A45" s="56" t="s">
        <v>121</v>
      </c>
      <c r="B45" s="161">
        <v>0</v>
      </c>
    </row>
    <row r="46" spans="1:48" customHeight="1" ht="30">
      <c r="A46" s="57" t="s">
        <v>122</v>
      </c>
      <c r="B46" s="161">
        <v>200000</v>
      </c>
    </row>
    <row r="47" spans="1:48" customHeight="1" ht="30">
      <c r="A47" s="57" t="s">
        <v>123</v>
      </c>
      <c r="B47" s="161">
        <v>350000</v>
      </c>
    </row>
    <row r="48" spans="1:48" customHeight="1" ht="30">
      <c r="A48" s="57" t="s">
        <v>124</v>
      </c>
      <c r="B48" s="161">
        <v>600000</v>
      </c>
    </row>
    <row r="49" spans="1:48" customHeight="1" ht="30">
      <c r="A49" s="57" t="s">
        <v>125</v>
      </c>
      <c r="B49" s="161">
        <v>60200</v>
      </c>
    </row>
    <row r="50" spans="1:48">
      <c r="A50" s="43"/>
      <c r="B50" s="36"/>
    </row>
    <row r="51" spans="1:48">
      <c r="A51" s="58" t="s">
        <v>126</v>
      </c>
      <c r="B51" s="161">
        <v>5000</v>
      </c>
    </row>
    <row r="52" spans="1:48">
      <c r="A52" s="43"/>
    </row>
    <row r="53" spans="1:48">
      <c r="A53" s="3" t="s">
        <v>127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128</v>
      </c>
      <c r="B55" s="10" t="s">
        <v>129</v>
      </c>
      <c r="C55" s="10" t="s">
        <v>130</v>
      </c>
      <c r="D55" s="10" t="s">
        <v>131</v>
      </c>
      <c r="E55" s="10" t="s">
        <v>132</v>
      </c>
      <c r="F55" s="10" t="s">
        <v>133</v>
      </c>
    </row>
    <row r="56" spans="1:48">
      <c r="A56" s="159">
        <v>150000</v>
      </c>
      <c r="B56" s="159">
        <v>132446</v>
      </c>
      <c r="C56" s="162" t="s">
        <v>134</v>
      </c>
      <c r="D56" s="163" t="s">
        <v>135</v>
      </c>
      <c r="E56" s="163" t="s">
        <v>115</v>
      </c>
      <c r="F56" s="163" t="s">
        <v>136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138</v>
      </c>
      <c r="C65" s="10" t="s">
        <v>139</v>
      </c>
    </row>
    <row r="66" spans="1:48">
      <c r="A66" s="142" t="s">
        <v>140</v>
      </c>
      <c r="B66" s="159">
        <v>320860</v>
      </c>
      <c r="C66" s="163">
        <v>320602</v>
      </c>
      <c r="D66" s="49">
        <f>INDEX(Parameters!$D$79:$D$90,MATCH(Inputs!A66,Parameters!$C$79:$C$90,0))</f>
        <v>12</v>
      </c>
    </row>
    <row r="67" spans="1:48">
      <c r="A67" s="143" t="s">
        <v>141</v>
      </c>
      <c r="B67" s="157">
        <v>197250</v>
      </c>
      <c r="C67" s="165">
        <v>197079</v>
      </c>
      <c r="D67" s="49">
        <f>INDEX(Parameters!$D$79:$D$90,MATCH(Inputs!A67,Parameters!$C$79:$C$90,0))</f>
        <v>11</v>
      </c>
    </row>
    <row r="68" spans="1:48">
      <c r="A68" s="143" t="s">
        <v>142</v>
      </c>
      <c r="B68" s="157">
        <v>181428</v>
      </c>
      <c r="C68" s="165">
        <v>182445</v>
      </c>
      <c r="D68" s="49">
        <f>INDEX(Parameters!$D$79:$D$90,MATCH(Inputs!A68,Parameters!$C$79:$C$90,0))</f>
        <v>10</v>
      </c>
    </row>
    <row r="69" spans="1:48">
      <c r="A69" s="143" t="s">
        <v>143</v>
      </c>
      <c r="B69" s="157">
        <v>492536</v>
      </c>
      <c r="C69" s="165">
        <v>490510</v>
      </c>
      <c r="D69" s="49">
        <f>INDEX(Parameters!$D$79:$D$90,MATCH(Inputs!A69,Parameters!$C$79:$C$90,0))</f>
        <v>9</v>
      </c>
    </row>
    <row r="70" spans="1:48">
      <c r="A70" s="143" t="s">
        <v>144</v>
      </c>
      <c r="B70" s="157">
        <v>171277</v>
      </c>
      <c r="C70" s="165">
        <v>169802</v>
      </c>
      <c r="D70" s="49">
        <f>INDEX(Parameters!$D$79:$D$90,MATCH(Inputs!A70,Parameters!$C$79:$C$90,0))</f>
        <v>8</v>
      </c>
    </row>
    <row r="71" spans="1:48">
      <c r="A71" s="144" t="s">
        <v>145</v>
      </c>
      <c r="B71" s="158">
        <v>243204</v>
      </c>
      <c r="C71" s="167">
        <v>243249</v>
      </c>
      <c r="D71" s="49">
        <f>INDEX(Parameters!$D$79:$D$90,MATCH(Inputs!A71,Parameters!$C$79:$C$90,0))</f>
        <v>7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4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300000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18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128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>150000</v>
      </c>
      <c r="B23" s="75">
        <f>SUM(C23:D23)</f>
        <v>4671.970802919708</v>
      </c>
      <c r="C23" s="75">
        <f>IF(Inputs!B56&gt;0,(Inputs!A56-Inputs!B56)/(DATE(YEAR(Inputs!$B$76),MONTH(Inputs!$B$76),DAY(Inputs!$B$76))-DATE(YEAR(Inputs!C56),MONTH(Inputs!C56),DAY(Inputs!C56)))*30,0)</f>
        <v>1921.970802919708</v>
      </c>
      <c r="D23" s="75">
        <f>IF(Inputs!B56&gt;0,Inputs!A56*0.22/12,0)</f>
        <v>2750</v>
      </c>
      <c r="E23" s="75">
        <f>IFERROR(ROUNDUP(Inputs!B56/C23,0),0)</f>
        <v>69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43153</v>
      </c>
      <c r="C33" s="27">
        <f>IF(B33&lt;&gt;"",IF(COUNT($A$33:A33)&lt;=$G$39,0,$G$41)+IF(COUNT($A$33:A33)&lt;=$G$40,0,$G$42),0)</f>
        <v>21666.66666666667</v>
      </c>
      <c r="D33" s="170">
        <f>IFERROR(DATE(YEAR(B33),MONTH(B33),1)," ")</f>
        <v>43132</v>
      </c>
      <c r="F33" t="s">
        <v>151</v>
      </c>
      <c r="G33" s="128">
        <f>IF(Inputs!B79="","",DATE(YEAR(Inputs!B79),MONTH(Inputs!B79),DAY(Inputs!B79)))</f>
        <v>43122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43181</v>
      </c>
      <c r="C34" s="27">
        <f>IF(B34&lt;&gt;"",IF(COUNT($A$33:A34)&lt;=$G$39,0,$G$41)+IF(COUNT($A$33:A34)&lt;=$G$40,0,$G$42),0)</f>
        <v>21666.66666666667</v>
      </c>
      <c r="D34" s="170">
        <f>IFERROR(DATE(YEAR(B34),MONTH(B34),1)," ")</f>
        <v>43160</v>
      </c>
      <c r="F34" t="s">
        <v>153</v>
      </c>
      <c r="G34" s="128">
        <f>IF(Inputs!B80="","",DATE(YEAR(Inputs!B80),MONTH(Inputs!B80),DAY(Inputs!B80)))</f>
        <v>43153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43212</v>
      </c>
      <c r="C35" s="27">
        <f>IF(B35&lt;&gt;"",IF(COUNT($A$33:A35)&lt;=$G$39,0,$G$41)+IF(COUNT($A$33:A35)&lt;=$G$40,0,$G$42),0)</f>
        <v>21666.66666666667</v>
      </c>
      <c r="D35" s="170">
        <f>IFERROR(DATE(YEAR(B35),MONTH(B35),1)," ")</f>
        <v>43191</v>
      </c>
      <c r="F35" t="s">
        <v>155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43242</v>
      </c>
      <c r="C36" s="27">
        <f>IF(B36&lt;&gt;"",IF(COUNT($A$33:A36)&lt;=$G$39,0,$G$41)+IF(COUNT($A$33:A36)&lt;=$G$40,0,$G$42),0)</f>
        <v>21666.66666666667</v>
      </c>
      <c r="D36" s="170">
        <f>IFERROR(DATE(YEAR(B36),MONTH(B36),1)," ")</f>
        <v>43221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43273</v>
      </c>
      <c r="C37" s="27">
        <f>IF(B37&lt;&gt;"",IF(COUNT($A$33:A37)&lt;=$G$39,0,$G$41)+IF(COUNT($A$33:A37)&lt;=$G$40,0,$G$42),0)</f>
        <v>21666.66666666667</v>
      </c>
      <c r="D37" s="170">
        <f>IFERROR(DATE(YEAR(B37),MONTH(B37),1)," ")</f>
        <v>43252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43303</v>
      </c>
      <c r="C38" s="27">
        <f>IF(B38&lt;&gt;"",IF(COUNT($A$33:A38)&lt;=$G$39,0,$G$41)+IF(COUNT($A$33:A38)&lt;=$G$40,0,$G$42),0)</f>
        <v>21666.66666666667</v>
      </c>
      <c r="D38" s="170">
        <f>IFERROR(DATE(YEAR(B38),MONTH(B38),1)," ")</f>
        <v>43282</v>
      </c>
      <c r="F38" t="s">
        <v>218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43334</v>
      </c>
      <c r="C39" s="27">
        <f>IF(B39&lt;&gt;"",IF(COUNT($A$33:A39)&lt;=$G$39,0,$G$41)+IF(COUNT($A$33:A39)&lt;=$G$40,0,$G$42),0)</f>
        <v>21666.66666666667</v>
      </c>
      <c r="D39" s="170">
        <f>IFERROR(DATE(YEAR(B39),MONTH(B39),1)," ")</f>
        <v>43313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43365</v>
      </c>
      <c r="C40" s="27">
        <f>IF(B40&lt;&gt;"",IF(COUNT($A$33:A40)&lt;=$G$39,0,$G$41)+IF(COUNT($A$33:A40)&lt;=$G$40,0,$G$42),0)</f>
        <v>21666.66666666667</v>
      </c>
      <c r="D40" s="170">
        <f>IFERROR(DATE(YEAR(B40),MONTH(B40),1)," ")</f>
        <v>43344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43395</v>
      </c>
      <c r="C41" s="27">
        <f>IF(B41&lt;&gt;"",IF(COUNT($A$33:A41)&lt;=$G$39,0,$G$41)+IF(COUNT($A$33:A41)&lt;=$G$40,0,$G$42),0)</f>
        <v>21666.66666666667</v>
      </c>
      <c r="D41" s="170">
        <f>IFERROR(DATE(YEAR(B41),MONTH(B41),1)," ")</f>
        <v>43374</v>
      </c>
      <c r="F41" t="s">
        <v>219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43426</v>
      </c>
      <c r="C42" s="27">
        <f>IF(B42&lt;&gt;"",IF(COUNT($A$33:A42)&lt;=$G$39,0,$G$41)+IF(COUNT($A$33:A42)&lt;=$G$40,0,$G$42),0)</f>
        <v>21666.66666666667</v>
      </c>
      <c r="D42" s="170">
        <f>IFERROR(DATE(YEAR(B42),MONTH(B42),1)," ")</f>
        <v>43405</v>
      </c>
      <c r="F42" t="s">
        <v>220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43456</v>
      </c>
      <c r="C43" s="27">
        <f>IF(B43&lt;&gt;"",IF(COUNT($A$33:A43)&lt;=$G$39,0,$G$41)+IF(COUNT($A$33:A43)&lt;=$G$40,0,$G$42),0)</f>
        <v>21666.66666666667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43487</v>
      </c>
      <c r="C44" s="27">
        <f>IF(B44&lt;&gt;"",IF(COUNT($A$33:A44)&lt;=$G$39,0,$G$41)+IF(COUNT($A$33:A44)&lt;=$G$40,0,$G$42),0)</f>
        <v>21666.66666666667</v>
      </c>
      <c r="D44" s="170">
        <f>IFERROR(DATE(YEAR(B44),MONTH(B44),1)," ")</f>
        <v>43466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43518</v>
      </c>
      <c r="C45" s="27">
        <f>IF(B45&lt;&gt;"",IF(COUNT($A$33:A45)&lt;=$G$39,0,$G$41)+IF(COUNT($A$33:A45)&lt;=$G$40,0,$G$42),0)</f>
        <v>21666.66666666667</v>
      </c>
      <c r="D45" s="170">
        <f>IFERROR(DATE(YEAR(B45),MONTH(B45),1)," ")</f>
        <v>43497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43546</v>
      </c>
      <c r="C46" s="27">
        <f>IF(B46&lt;&gt;"",IF(COUNT($A$33:A46)&lt;=$G$39,0,$G$41)+IF(COUNT($A$33:A46)&lt;=$G$40,0,$G$42),0)</f>
        <v>21666.66666666667</v>
      </c>
      <c r="D46" s="170">
        <f>IFERROR(DATE(YEAR(B46),MONTH(B46),1)," ")</f>
        <v>43525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43577</v>
      </c>
      <c r="C47" s="27">
        <f>IF(B47&lt;&gt;"",IF(COUNT($A$33:A47)&lt;=$G$39,0,$G$41)+IF(COUNT($A$33:A47)&lt;=$G$40,0,$G$42),0)</f>
        <v>21666.66666666667</v>
      </c>
      <c r="D47" s="170">
        <f>IFERROR(DATE(YEAR(B47),MONTH(B47),1)," ")</f>
        <v>43556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43607</v>
      </c>
      <c r="C48" s="27">
        <f>IF(B48&lt;&gt;"",IF(COUNT($A$33:A48)&lt;=$G$39,0,$G$41)+IF(COUNT($A$33:A48)&lt;=$G$40,0,$G$42),0)</f>
        <v>21666.66666666667</v>
      </c>
      <c r="D48" s="170">
        <f>IFERROR(DATE(YEAR(B48),MONTH(B48),1)," ")</f>
        <v>43586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43638</v>
      </c>
      <c r="C49" s="27">
        <f>IF(B49&lt;&gt;"",IF(COUNT($A$33:A49)&lt;=$G$39,0,$G$41)+IF(COUNT($A$33:A49)&lt;=$G$40,0,$G$42),0)</f>
        <v>21666.66666666667</v>
      </c>
      <c r="D49" s="170">
        <f>IFERROR(DATE(YEAR(B49),MONTH(B49),1)," ")</f>
        <v>43617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43668</v>
      </c>
      <c r="C50" s="27">
        <f>IF(B50&lt;&gt;"",IF(COUNT($A$33:A50)&lt;=$G$39,0,$G$41)+IF(COUNT($A$33:A50)&lt;=$G$40,0,$G$42),0)</f>
        <v>21666.66666666667</v>
      </c>
      <c r="D50" s="170">
        <f>IFERROR(DATE(YEAR(B50),MONTH(B50),1)," ")</f>
        <v>43647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290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290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290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290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90</v>
      </c>
      <c r="B41" s="191" t="s">
        <v>307</v>
      </c>
      <c r="C41" s="191" t="s">
        <v>115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309</v>
      </c>
      <c r="H52" s="12" t="s">
        <v>310</v>
      </c>
      <c r="I52" s="12" t="s">
        <v>119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221</v>
      </c>
      <c r="E53" s="10" t="s">
        <v>180</v>
      </c>
      <c r="F53" s="10" t="s">
        <v>240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115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115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307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115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115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307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307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115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115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115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307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307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307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307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115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115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115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115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158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217</v>
      </c>
      <c r="J76" s="11" t="s">
        <v>343</v>
      </c>
      <c r="K76" s="11" t="s">
        <v>170</v>
      </c>
      <c r="AJ76" s="12"/>
    </row>
    <row r="77" spans="1:36">
      <c r="A77" t="s">
        <v>115</v>
      </c>
      <c r="B77" s="176">
        <v>0</v>
      </c>
      <c r="C77" s="12" t="s">
        <v>344</v>
      </c>
      <c r="E77" s="12" t="s">
        <v>307</v>
      </c>
      <c r="F77" s="12" t="s">
        <v>307</v>
      </c>
      <c r="G77" s="12" t="s">
        <v>345</v>
      </c>
      <c r="H77" s="12" t="s">
        <v>310</v>
      </c>
      <c r="I77" s="12" t="s">
        <v>346</v>
      </c>
      <c r="J77" s="136" t="s">
        <v>347</v>
      </c>
      <c r="K77" s="12" t="s">
        <v>307</v>
      </c>
      <c r="AJ77" s="12"/>
    </row>
    <row r="78" spans="1:36">
      <c r="A78" t="s">
        <v>307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119</v>
      </c>
      <c r="I78" s="12" t="s">
        <v>352</v>
      </c>
      <c r="J78" s="70" t="s">
        <v>353</v>
      </c>
      <c r="K78" s="12" t="s">
        <v>307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158</v>
      </c>
      <c r="J79" s="70" t="s">
        <v>358</v>
      </c>
      <c r="K79" s="12" t="s">
        <v>307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115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115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145</v>
      </c>
      <c r="D85" s="12">
        <f>D84+1</f>
        <v>7</v>
      </c>
    </row>
    <row r="86" spans="1:36">
      <c r="B86" s="176">
        <v>80</v>
      </c>
      <c r="C86" s="12" t="s">
        <v>144</v>
      </c>
      <c r="D86" s="12">
        <f>D85+1</f>
        <v>8</v>
      </c>
    </row>
    <row r="87" spans="1:36">
      <c r="B87" s="176">
        <v>89.99999999999999</v>
      </c>
      <c r="C87" s="12" t="s">
        <v>143</v>
      </c>
      <c r="D87" s="12">
        <f>D86+1</f>
        <v>9</v>
      </c>
    </row>
    <row r="88" spans="1:36">
      <c r="B88" s="176">
        <v>99.99999999999999</v>
      </c>
      <c r="C88" s="12" t="s">
        <v>142</v>
      </c>
      <c r="D88" s="12">
        <f>D87+1</f>
        <v>10</v>
      </c>
    </row>
    <row r="89" spans="1:36">
      <c r="C89" s="12" t="s">
        <v>141</v>
      </c>
      <c r="D89" s="12">
        <f>D88+1</f>
        <v>11</v>
      </c>
    </row>
    <row r="90" spans="1:36">
      <c r="C90" s="12" t="s">
        <v>140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