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<sst xmlns="http://schemas.openxmlformats.org/spreadsheetml/2006/main" uniqueCount="365">
  <si>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</si>
  <si>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</si>
  <si>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</si>
  <si>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</si>
  <si>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</si>
  <si>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</si>
  <si>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</si>
  <si>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</si>
  <si>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</si>
  <si>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</si>
  <si>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</si>
  <si>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</si>
  <si>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</si>
  <si>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</si>
  <si>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</si>
  <si>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</si>
  <si>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</si>
  <si>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</si>
  <si>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</si>
  <si>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</si>
  <si>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</si>
  <si>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</si>
  <si>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</si>
  <si>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</si>
  <si>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</si>
  <si>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</si>
  <si>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</si>
  <si>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</si>
  <si>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</si>
  <si>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</si>
  <si>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</si>
  <si>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</si>
  <si>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</si>
  <si>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</si>
  <si>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</si>
  <si>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</si>
  <si>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</si>
  <si>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</si>
  <si>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</si>
  <si>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</si>
  <si>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</si>
  <si>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</si>
  <si>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</si>
  <si>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</si>
  <si>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</si>
  <si>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</si>
  <si>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</si>
  <si>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</si>
  <si>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</si>
  <si>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</si>
  <si>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</si>
  <si>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</si>
  <si>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</si>
  <si>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</si>
  <si>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</si>
  <si>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</si>
  <si>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</si>
  <si>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</si>
  <si>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</si>
  <si>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</si>
  <si>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</si>
  <si>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</si>
  <si>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</si>
  <si>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</si>
  <si>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</si>
  <si>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</si>
  <si>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</si>
  <si>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</si>
  <si>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</si>
  <si>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</si>
  <si>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</si>
  <si>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</si>
  <si>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</si>
  <si>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</si>
  <si>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</si>
  <si>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</si>
  <si>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</si>
  <si>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</si>
  <si>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</si>
  <si>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</si>
  <si>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</si>
  <si>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</si>
  <si>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</si>
  <si>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</si>
  <si>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</si>
  <si>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</si>
  <si>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</si>
  <si>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</si>
  <si>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</si>
  <si>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</si>
  <si>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</si>
  <si>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</si>
  <si>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</si>
  <si>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</si>
  <si>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</si>
  <si>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</si>
  <si>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</si>
  <si>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</si>
  <si>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</si>
  <si>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</si>
  <si>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</si>
  <si>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</si>
  <si>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</si>
  <si>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</si>
  <si>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</si>
  <si>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</si>
  <si>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</si>
  <si>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</si>
  <si>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</si>
  <si>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</si>
  <si>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</si>
  <si>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</si>
  <si>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</si>
  <si>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</si>
  <si>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</si>
  <si>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</si>
  <si>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</si>
  <si>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</si>
  <si>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</si>
  <si>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</si>
  <si>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</si>
  <si>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</si>
  <si>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</si>
  <si>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</si>
  <si>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</si>
  <si>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</si>
  <si>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</si>
  <si>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</si>
  <si>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</si>
  <si>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</si>
  <si>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</si>
  <si>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</si>
  <si>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</si>
  <si>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</si>
  <si>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</si>
  <si>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</si>
  <si>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</si>
  <si>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</si>
  <si>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</si>
  <si>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</si>
  <si>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</si>
  <si>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</si>
  <si>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</si>
  <si>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</si>
  <si>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</si>
  <si>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</si>
  <si>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</si>
  <si>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</si>
  <si>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</si>
  <si>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</si>
  <si>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</si>
  <si>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</si>
  <si>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2018/1/18</t>
  </si>
  <si>
    <t>Loan terms</t>
  </si>
  <si>
    <t>Expected disbursement date</t>
  </si>
  <si>
    <t>Expected first repayment date</t>
  </si>
  <si>
    <t>2018/2/18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</si>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</sst>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1.148211919519067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0.08079268292682927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102916.6666666667</v>
      </c>
    </row>
    <row r="17" spans="1:7">
      <c r="B17" s="1" t="s">
        <v>11</v>
      </c>
      <c r="C17" s="36">
        <f>SUM(Output!B6:M6)</f>
        <v>63749.30808132917</v>
      </c>
    </row>
    <row r="18" spans="1:7">
      <c r="B18" s="1" t="s">
        <v>12</v>
      </c>
      <c r="C18" s="36">
        <f>MIN(Output!B6:M6)</f>
        <v>-42041.62822674052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68582.79517436714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-42041.62822674052</v>
      </c>
      <c r="C6" s="51">
        <f>C30-C88</f>
        <v>-4541.628226740511</v>
      </c>
      <c r="D6" s="51">
        <f>D30-D88</f>
        <v>-19541.62822674051</v>
      </c>
      <c r="E6" s="51">
        <f>E30-E88</f>
        <v>-4541.628226740511</v>
      </c>
      <c r="F6" s="51">
        <f>F30-F88</f>
        <v>68582.79517436714</v>
      </c>
      <c r="G6" s="51">
        <f>G30-G88</f>
        <v>21458.37177325949</v>
      </c>
      <c r="H6" s="51">
        <f>H30-H88</f>
        <v>-17041.62822674051</v>
      </c>
      <c r="I6" s="51">
        <f>I30-I88</f>
        <v>-4541.628226740511</v>
      </c>
      <c r="J6" s="51">
        <f>J30-J88</f>
        <v>-19541.62822674051</v>
      </c>
      <c r="K6" s="51">
        <f>K30-K88</f>
        <v>-4541.628226740511</v>
      </c>
      <c r="L6" s="51">
        <f>L30-L88</f>
        <v>68582.79517436714</v>
      </c>
      <c r="M6" s="51">
        <f>M30-M88</f>
        <v>21458.37177325949</v>
      </c>
      <c r="N6" s="51">
        <f>N30-N88</f>
        <v>-42041.62822674052</v>
      </c>
      <c r="O6" s="51">
        <f>O30-O88</f>
        <v>-4541.628226740511</v>
      </c>
      <c r="P6" s="51">
        <f>P30-P88</f>
        <v>-19541.62822674051</v>
      </c>
      <c r="Q6" s="51">
        <f>Q30-Q88</f>
        <v>-4541.628226740511</v>
      </c>
      <c r="R6" s="51">
        <f>R30-R88</f>
        <v>68582.79517436714</v>
      </c>
      <c r="S6" s="51">
        <f>S30-S88</f>
        <v>21458.37177325949</v>
      </c>
      <c r="T6" s="51">
        <f>T30-T88</f>
        <v>-17041.62822674051</v>
      </c>
      <c r="U6" s="51">
        <f>U30-U88</f>
        <v>-4541.628226740511</v>
      </c>
      <c r="V6" s="51">
        <f>V30-V88</f>
        <v>-19541.62822674051</v>
      </c>
      <c r="W6" s="51">
        <f>W30-W88</f>
        <v>-4541.628226740511</v>
      </c>
      <c r="X6" s="51">
        <f>X30-X88</f>
        <v>68582.79517436714</v>
      </c>
      <c r="Y6" s="51">
        <f>Y30-Y88</f>
        <v>21458.37177325949</v>
      </c>
      <c r="Z6" s="51">
        <f>SUMIF($B$13:$Y$13,"Yes",B6:Y6)</f>
        <v>2333.025813924076</v>
      </c>
      <c r="AA6" s="51">
        <f>AA30-AA88</f>
        <v>63749.3080813291</v>
      </c>
      <c r="AB6" s="51">
        <f>AB30-AB88</f>
        <v>127498.6161626582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108720</v>
      </c>
      <c r="I7" s="80">
        <f>IF(ISERROR(VLOOKUP(MONTH(I5),Inputs!$D$66:$D$71,1,0)),"",INDEX(Inputs!$B$66:$B$71,MATCH(MONTH(Output!I5),Inputs!$D$66:$D$71,0))-INDEX(Inputs!$C$66:$C$71,MATCH(MONTH(Output!I5),Inputs!$D$66:$D$71,0)))</f>
        <v>37226</v>
      </c>
      <c r="J7" s="80">
        <f>IF(ISERROR(VLOOKUP(MONTH(J5),Inputs!$D$66:$D$71,1,0)),"",INDEX(Inputs!$B$66:$B$71,MATCH(MONTH(Output!J5),Inputs!$D$66:$D$71,0))-INDEX(Inputs!$C$66:$C$71,MATCH(MONTH(Output!J5),Inputs!$D$66:$D$71,0)))</f>
        <v>468758</v>
      </c>
      <c r="K7" s="80">
        <f>IF(ISERROR(VLOOKUP(MONTH(K5),Inputs!$D$66:$D$71,1,0)),"",INDEX(Inputs!$B$66:$B$71,MATCH(MONTH(Output!K5),Inputs!$D$66:$D$71,0))-INDEX(Inputs!$C$66:$C$71,MATCH(MONTH(Output!K5),Inputs!$D$66:$D$71,0)))</f>
        <v>62415</v>
      </c>
      <c r="L7" s="80">
        <f>IF(ISERROR(VLOOKUP(MONTH(L5),Inputs!$D$66:$D$71,1,0)),"",INDEX(Inputs!$B$66:$B$71,MATCH(MONTH(Output!L5),Inputs!$D$66:$D$71,0))-INDEX(Inputs!$C$66:$C$71,MATCH(MONTH(Output!L5),Inputs!$D$66:$D$71,0)))</f>
        <v>179003</v>
      </c>
      <c r="M7" s="80">
        <f>IF(ISERROR(VLOOKUP(MONTH(M5),Inputs!$D$66:$D$71,1,0)),"",INDEX(Inputs!$B$66:$B$71,MATCH(MONTH(Output!M5),Inputs!$D$66:$D$71,0))-INDEX(Inputs!$C$66:$C$71,MATCH(MONTH(Output!M5),Inputs!$D$66:$D$71,0)))</f>
        <v>106530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108720</v>
      </c>
      <c r="U7" s="80">
        <f>IF(ISERROR(VLOOKUP(MONTH(U5),Inputs!$D$66:$D$71,1,0)),"",INDEX(Inputs!$B$66:$B$71,MATCH(MONTH(Output!U5),Inputs!$D$66:$D$71,0))-INDEX(Inputs!$C$66:$C$71,MATCH(MONTH(Output!U5),Inputs!$D$66:$D$71,0)))</f>
        <v>37226</v>
      </c>
      <c r="V7" s="80">
        <f>IF(ISERROR(VLOOKUP(MONTH(V5),Inputs!$D$66:$D$71,1,0)),"",INDEX(Inputs!$B$66:$B$71,MATCH(MONTH(Output!V5),Inputs!$D$66:$D$71,0))-INDEX(Inputs!$C$66:$C$71,MATCH(MONTH(Output!V5),Inputs!$D$66:$D$71,0)))</f>
        <v>468758</v>
      </c>
      <c r="W7" s="80">
        <f>IF(ISERROR(VLOOKUP(MONTH(W5),Inputs!$D$66:$D$71,1,0)),"",INDEX(Inputs!$B$66:$B$71,MATCH(MONTH(Output!W5),Inputs!$D$66:$D$71,0))-INDEX(Inputs!$C$66:$C$71,MATCH(MONTH(Output!W5),Inputs!$D$66:$D$71,0)))</f>
        <v>62415</v>
      </c>
      <c r="X7" s="80">
        <f>IF(ISERROR(VLOOKUP(MONTH(X5),Inputs!$D$66:$D$71,1,0)),"",INDEX(Inputs!$B$66:$B$71,MATCH(MONTH(Output!X5),Inputs!$D$66:$D$71,0))-INDEX(Inputs!$C$66:$C$71,MATCH(MONTH(Output!X5),Inputs!$D$66:$D$71,0)))</f>
        <v>179003</v>
      </c>
      <c r="Y7" s="80">
        <f>IF(ISERROR(VLOOKUP(MONTH(Y5),Inputs!$D$66:$D$71,1,0)),"",INDEX(Inputs!$B$66:$B$71,MATCH(MONTH(Output!Y5),Inputs!$D$66:$D$71,0))-INDEX(Inputs!$C$66:$C$71,MATCH(MONTH(Output!Y5),Inputs!$D$66:$D$71,0)))</f>
        <v>106530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2916.666666666667</v>
      </c>
      <c r="D10" s="37">
        <f>SUMPRODUCT((Calculations!$D$33:$D$84=Output!D5)+0,Calculations!$C$33:$C$84)</f>
        <v>2916.666666666667</v>
      </c>
      <c r="E10" s="37">
        <f>SUMPRODUCT((Calculations!$D$33:$D$84=Output!E5)+0,Calculations!$C$33:$C$84)</f>
        <v>2916.666666666667</v>
      </c>
      <c r="F10" s="37">
        <f>SUMPRODUCT((Calculations!$D$33:$D$84=Output!F5)+0,Calculations!$C$33:$C$84)</f>
        <v>2916.666666666667</v>
      </c>
      <c r="G10" s="37">
        <f>SUMPRODUCT((Calculations!$D$33:$D$84=Output!G5)+0,Calculations!$C$33:$C$84)</f>
        <v>2916.666666666667</v>
      </c>
      <c r="H10" s="37">
        <f>SUMPRODUCT((Calculations!$D$33:$D$84=Output!H5)+0,Calculations!$C$33:$C$84)</f>
        <v>102916.6666666667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117500</v>
      </c>
      <c r="AA10" s="37">
        <f>SUM(B10:M10)</f>
        <v>117500</v>
      </c>
      <c r="AB10" s="37">
        <f>SUM(B10:Y10)</f>
        <v>117500</v>
      </c>
    </row>
    <row r="11" spans="1:30" customHeight="1" ht="15.75">
      <c r="A11" s="43" t="s">
        <v>31</v>
      </c>
      <c r="B11" s="80">
        <f>B6+B9-B10</f>
        <v>57958.37177325948</v>
      </c>
      <c r="C11" s="80">
        <f>C6+C9-C10</f>
        <v>-7458.294893407177</v>
      </c>
      <c r="D11" s="80">
        <f>D6+D9-D10</f>
        <v>-22458.29489340718</v>
      </c>
      <c r="E11" s="80">
        <f>E6+E9-E10</f>
        <v>-7458.294893407177</v>
      </c>
      <c r="F11" s="80">
        <f>F6+F9-F10</f>
        <v>65666.12850770047</v>
      </c>
      <c r="G11" s="80">
        <f>G6+G9-G10</f>
        <v>18541.70510659282</v>
      </c>
      <c r="H11" s="80">
        <f>H6+H9-H10</f>
        <v>-119958.2948934072</v>
      </c>
      <c r="I11" s="80">
        <f>I6+I9-I10</f>
        <v>-4541.628226740511</v>
      </c>
      <c r="J11" s="80">
        <f>J6+J9-J10</f>
        <v>-19541.62822674051</v>
      </c>
      <c r="K11" s="80">
        <f>K6+K9-K10</f>
        <v>-4541.628226740511</v>
      </c>
      <c r="L11" s="80">
        <f>L6+L9-L10</f>
        <v>68582.79517436714</v>
      </c>
      <c r="M11" s="80">
        <f>M6+M9-M10</f>
        <v>21458.37177325949</v>
      </c>
      <c r="N11" s="80">
        <f>N6+N9-N10</f>
        <v>-42041.62822674052</v>
      </c>
      <c r="O11" s="80">
        <f>O6+O9-O10</f>
        <v>-4541.628226740511</v>
      </c>
      <c r="P11" s="80">
        <f>P6+P9-P10</f>
        <v>-19541.62822674051</v>
      </c>
      <c r="Q11" s="80">
        <f>Q6+Q9-Q10</f>
        <v>-4541.628226740511</v>
      </c>
      <c r="R11" s="80">
        <f>R6+R9-R10</f>
        <v>68582.79517436714</v>
      </c>
      <c r="S11" s="80">
        <f>S6+S9-S10</f>
        <v>21458.37177325949</v>
      </c>
      <c r="T11" s="80">
        <f>T6+T9-T10</f>
        <v>-17041.62822674051</v>
      </c>
      <c r="U11" s="80">
        <f>U6+U9-U10</f>
        <v>-4541.628226740511</v>
      </c>
      <c r="V11" s="80">
        <f>V6+V9-V10</f>
        <v>-19541.62822674051</v>
      </c>
      <c r="W11" s="80">
        <f>W6+W9-W10</f>
        <v>-4541.628226740511</v>
      </c>
      <c r="X11" s="80">
        <f>X6+X9-X10</f>
        <v>68582.79517436714</v>
      </c>
      <c r="Y11" s="80">
        <f>Y6+Y9-Y10</f>
        <v>21458.37177325949</v>
      </c>
      <c r="Z11" s="85">
        <f>SUMIF($B$13:$Y$13,"Yes",B11:Y11)</f>
        <v>-15166.97418607594</v>
      </c>
      <c r="AA11" s="80">
        <f>SUM(B11:M11)</f>
        <v>46249.30808132916</v>
      </c>
      <c r="AB11" s="46">
        <f>SUM(B11:Y11)</f>
        <v>109998.6161626583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0.05460210550137023</v>
      </c>
      <c r="D12" s="82">
        <f>IF(D13="Yes",IF(SUM($B$10:D10)/(SUM($B$6:D6)+SUM($B$9:D9))&lt;0,999.99,SUM($B$10:D10)/(SUM($B$6:D6)+SUM($B$9:D9))),"")</f>
        <v>0.1722011357973875</v>
      </c>
      <c r="E12" s="82">
        <f>IF(E13="Yes",IF(SUM($B$10:E10)/(SUM($B$6:E6)+SUM($B$9:E9))&lt;0,999.99,SUM($B$10:E10)/(SUM($B$6:E6)+SUM($B$9:E9))),"")</f>
        <v>0.2982938909461172</v>
      </c>
      <c r="F12" s="82">
        <f>IF(F13="Yes",IF(SUM($B$10:F10)/(SUM($B$6:F6)+SUM($B$9:F9))&lt;0,999.99,SUM($B$10:F10)/(SUM($B$6:F6)+SUM($B$9:F9))),"")</f>
        <v>0.1191494039245231</v>
      </c>
      <c r="G12" s="82">
        <f>IF(G13="Yes",IF(SUM($B$10:G10)/(SUM($B$6:G6)+SUM($B$9:G9))&lt;0,999.99,SUM($B$10:G10)/(SUM($B$6:G6)+SUM($B$9:G9))),"")</f>
        <v>0.1221644029088919</v>
      </c>
      <c r="H12" s="82">
        <f>IF(H13="Yes",IF(SUM($B$10:H10)/(SUM($B$6:H6)+SUM($B$9:H9))&lt;0,999.99,SUM($B$10:H10)/(SUM($B$6:H6)+SUM($B$9:H9))),"")</f>
        <v>1.148211919519067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73124.42340110765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73124.42340110765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73124.42340110765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73124.42340110765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73124.42340110765</v>
      </c>
      <c r="AA18" s="36">
        <f>SUM(B18:M18)</f>
        <v>146248.8468022153</v>
      </c>
      <c r="AB18" s="36">
        <f>SUM(B18:Y18)</f>
        <v>292497.6936044306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245000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108124.4234011076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108124.4234011076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108124.4234011076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108124.4234011076</v>
      </c>
      <c r="Y30" s="19">
        <f>SUM(Y18:Y29)</f>
        <v>35000</v>
      </c>
      <c r="Z30" s="19">
        <f>SUMIF($B$13:$Y$13,"Yes",B30:Y30)</f>
        <v>318124.4234011077</v>
      </c>
      <c r="AA30" s="19">
        <f>SUM(B30:M30)</f>
        <v>566248.8468022153</v>
      </c>
      <c r="AB30" s="19">
        <f>SUM(B30:Y30)</f>
        <v>1132497.693604431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25000</v>
      </c>
      <c r="AA42" s="36">
        <f>SUM(B42:M42)</f>
        <v>25000</v>
      </c>
      <c r="AB42" s="36">
        <f>SUM(B42:Y42)</f>
        <v>50000</v>
      </c>
    </row>
    <row r="43" spans="1:30" hidden="true" outlineLevel="1">
      <c r="A43" s="181" t="str">
        <f>Calculations!$A$4</f>
        <v>Beans</v>
      </c>
      <c r="B43" s="36">
        <f>N43</f>
        <v>12500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25000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15000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15000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15000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15000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15000</v>
      </c>
      <c r="AA48" s="46">
        <f>SUM(B48:M48)</f>
        <v>30000</v>
      </c>
      <c r="AB48" s="46">
        <f>SUM(B48:Y48)</f>
        <v>60000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15000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15000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15000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15000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15000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6000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6000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6000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6000</v>
      </c>
      <c r="Y60" s="46">
        <f>SUM(Y61:Y65)</f>
        <v>0</v>
      </c>
      <c r="Z60" s="46">
        <f>SUMIF($B$13:$Y$13,"Yes",B60:Y60)</f>
        <v>36000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Beans</v>
      </c>
      <c r="B61" s="36">
        <f>N61</f>
        <v>6000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6000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36000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20000</v>
      </c>
      <c r="C66" s="36">
        <f>O66</f>
        <v>20000</v>
      </c>
      <c r="D66" s="36">
        <f>P66</f>
        <v>20000</v>
      </c>
      <c r="E66" s="36">
        <f>Q66</f>
        <v>20000</v>
      </c>
      <c r="F66" s="36">
        <f>R66</f>
        <v>20000</v>
      </c>
      <c r="G66" s="36">
        <f>S66</f>
        <v>0</v>
      </c>
      <c r="H66" s="36">
        <f>T66</f>
        <v>20000</v>
      </c>
      <c r="I66" s="36">
        <f>U66</f>
        <v>20000</v>
      </c>
      <c r="J66" s="36">
        <f>V66</f>
        <v>20000</v>
      </c>
      <c r="K66" s="36">
        <f>W66</f>
        <v>20000</v>
      </c>
      <c r="L66" s="36">
        <f>X66</f>
        <v>20000</v>
      </c>
      <c r="M66" s="36">
        <f>Y66</f>
        <v>0</v>
      </c>
      <c r="N66" s="46">
        <f>SUM(N67:N71)</f>
        <v>20000</v>
      </c>
      <c r="O66" s="46">
        <f>SUM(O67:O71)</f>
        <v>20000</v>
      </c>
      <c r="P66" s="46">
        <f>SUM(P67:P71)</f>
        <v>20000</v>
      </c>
      <c r="Q66" s="46">
        <f>SUM(Q67:Q71)</f>
        <v>20000</v>
      </c>
      <c r="R66" s="46">
        <f>SUM(R67:R71)</f>
        <v>20000</v>
      </c>
      <c r="S66" s="46">
        <f>SUM(S67:S71)</f>
        <v>0</v>
      </c>
      <c r="T66" s="46">
        <f>SUM(T67:T71)</f>
        <v>20000</v>
      </c>
      <c r="U66" s="46">
        <f>SUM(U67:U71)</f>
        <v>20000</v>
      </c>
      <c r="V66" s="46">
        <f>SUM(V67:V71)</f>
        <v>20000</v>
      </c>
      <c r="W66" s="46">
        <f>SUM(W67:W71)</f>
        <v>20000</v>
      </c>
      <c r="X66" s="46">
        <f>SUM(X67:X71)</f>
        <v>20000</v>
      </c>
      <c r="Y66" s="46">
        <f>SUM(Y67:Y71)</f>
        <v>0</v>
      </c>
      <c r="Z66" s="46">
        <f>SUMIF($B$13:$Y$13,"Yes",B66:Y66)</f>
        <v>120000</v>
      </c>
      <c r="AA66" s="46">
        <f>SUM(B66:M66)</f>
        <v>200000</v>
      </c>
      <c r="AB66" s="46">
        <f>SUM(B66:Y66)</f>
        <v>400000</v>
      </c>
    </row>
    <row r="67" spans="1:30" hidden="true" outlineLevel="1">
      <c r="A67" s="181" t="str">
        <f>Calculations!$A$4</f>
        <v>Beans</v>
      </c>
      <c r="B67" s="36">
        <f>N67</f>
        <v>20000</v>
      </c>
      <c r="C67" s="36">
        <f>O67</f>
        <v>20000</v>
      </c>
      <c r="D67" s="36">
        <f>P67</f>
        <v>20000</v>
      </c>
      <c r="E67" s="36">
        <f>Q67</f>
        <v>20000</v>
      </c>
      <c r="F67" s="36">
        <f>R67</f>
        <v>20000</v>
      </c>
      <c r="G67" s="36">
        <f>S67</f>
        <v>0</v>
      </c>
      <c r="H67" s="36">
        <f>T67</f>
        <v>20000</v>
      </c>
      <c r="I67" s="36">
        <f>U67</f>
        <v>20000</v>
      </c>
      <c r="J67" s="36">
        <f>V67</f>
        <v>20000</v>
      </c>
      <c r="K67" s="36">
        <f>W67</f>
        <v>20000</v>
      </c>
      <c r="L67" s="36">
        <f>X67</f>
        <v>20000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20000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20000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20000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20000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20000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20000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20000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20000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20000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20000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120000</v>
      </c>
      <c r="AA67" s="46">
        <f>SUM(B67:M67)</f>
        <v>200000</v>
      </c>
      <c r="AB67" s="46">
        <f>SUM(B67:Y67)</f>
        <v>400000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25000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25000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25000</v>
      </c>
      <c r="AA72" s="46">
        <f>SUM(B72:M72)</f>
        <v>25000</v>
      </c>
      <c r="AB72" s="46">
        <f>SUM(B72:Y72)</f>
        <v>50000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70000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3541.628226740511</v>
      </c>
      <c r="C81" s="46">
        <f>(SUM($AA$18:$AA$29)-SUM($AA$36,$AA$42,$AA$48,$AA$54,$AA$60,$AA$66,$AA$72:$AA$79))*Parameters!$B$37/12</f>
        <v>3541.628226740511</v>
      </c>
      <c r="D81" s="46">
        <f>(SUM($AA$18:$AA$29)-SUM($AA$36,$AA$42,$AA$48,$AA$54,$AA$60,$AA$66,$AA$72:$AA$79))*Parameters!$B$37/12</f>
        <v>3541.628226740511</v>
      </c>
      <c r="E81" s="46">
        <f>(SUM($AA$18:$AA$29)-SUM($AA$36,$AA$42,$AA$48,$AA$54,$AA$60,$AA$66,$AA$72:$AA$79))*Parameters!$B$37/12</f>
        <v>3541.628226740511</v>
      </c>
      <c r="F81" s="46">
        <f>(SUM($AA$18:$AA$29)-SUM($AA$36,$AA$42,$AA$48,$AA$54,$AA$60,$AA$66,$AA$72:$AA$79))*Parameters!$B$37/12</f>
        <v>3541.628226740511</v>
      </c>
      <c r="G81" s="46">
        <f>(SUM($AA$18:$AA$29)-SUM($AA$36,$AA$42,$AA$48,$AA$54,$AA$60,$AA$66,$AA$72:$AA$79))*Parameters!$B$37/12</f>
        <v>3541.628226740511</v>
      </c>
      <c r="H81" s="46">
        <f>(SUM($AA$18:$AA$29)-SUM($AA$36,$AA$42,$AA$48,$AA$54,$AA$60,$AA$66,$AA$72:$AA$79))*Parameters!$B$37/12</f>
        <v>3541.628226740511</v>
      </c>
      <c r="I81" s="46">
        <f>(SUM($AA$18:$AA$29)-SUM($AA$36,$AA$42,$AA$48,$AA$54,$AA$60,$AA$66,$AA$72:$AA$79))*Parameters!$B$37/12</f>
        <v>3541.628226740511</v>
      </c>
      <c r="J81" s="46">
        <f>(SUM($AA$18:$AA$29)-SUM($AA$36,$AA$42,$AA$48,$AA$54,$AA$60,$AA$66,$AA$72:$AA$79))*Parameters!$B$37/12</f>
        <v>3541.628226740511</v>
      </c>
      <c r="K81" s="46">
        <f>(SUM($AA$18:$AA$29)-SUM($AA$36,$AA$42,$AA$48,$AA$54,$AA$60,$AA$66,$AA$72:$AA$79))*Parameters!$B$37/12</f>
        <v>3541.628226740511</v>
      </c>
      <c r="L81" s="46">
        <f>(SUM($AA$18:$AA$29)-SUM($AA$36,$AA$42,$AA$48,$AA$54,$AA$60,$AA$66,$AA$72:$AA$79))*Parameters!$B$37/12</f>
        <v>3541.628226740511</v>
      </c>
      <c r="M81" s="46">
        <f>(SUM($AA$18:$AA$29)-SUM($AA$36,$AA$42,$AA$48,$AA$54,$AA$60,$AA$66,$AA$72:$AA$79))*Parameters!$B$37/12</f>
        <v>3541.628226740511</v>
      </c>
      <c r="N81" s="46">
        <f>(SUM($AA$18:$AA$29)-SUM($AA$36,$AA$42,$AA$48,$AA$54,$AA$60,$AA$66,$AA$72:$AA$79))*Parameters!$B$37/12</f>
        <v>3541.628226740511</v>
      </c>
      <c r="O81" s="46">
        <f>(SUM($AA$18:$AA$29)-SUM($AA$36,$AA$42,$AA$48,$AA$54,$AA$60,$AA$66,$AA$72:$AA$79))*Parameters!$B$37/12</f>
        <v>3541.628226740511</v>
      </c>
      <c r="P81" s="46">
        <f>(SUM($AA$18:$AA$29)-SUM($AA$36,$AA$42,$AA$48,$AA$54,$AA$60,$AA$66,$AA$72:$AA$79))*Parameters!$B$37/12</f>
        <v>3541.628226740511</v>
      </c>
      <c r="Q81" s="46">
        <f>(SUM($AA$18:$AA$29)-SUM($AA$36,$AA$42,$AA$48,$AA$54,$AA$60,$AA$66,$AA$72:$AA$79))*Parameters!$B$37/12</f>
        <v>3541.628226740511</v>
      </c>
      <c r="R81" s="46">
        <f>(SUM($AA$18:$AA$29)-SUM($AA$36,$AA$42,$AA$48,$AA$54,$AA$60,$AA$66,$AA$72:$AA$79))*Parameters!$B$37/12</f>
        <v>3541.628226740511</v>
      </c>
      <c r="S81" s="46">
        <f>(SUM($AA$18:$AA$29)-SUM($AA$36,$AA$42,$AA$48,$AA$54,$AA$60,$AA$66,$AA$72:$AA$79))*Parameters!$B$37/12</f>
        <v>3541.628226740511</v>
      </c>
      <c r="T81" s="46">
        <f>(SUM($AA$18:$AA$29)-SUM($AA$36,$AA$42,$AA$48,$AA$54,$AA$60,$AA$66,$AA$72:$AA$79))*Parameters!$B$37/12</f>
        <v>3541.628226740511</v>
      </c>
      <c r="U81" s="46">
        <f>(SUM($AA$18:$AA$29)-SUM($AA$36,$AA$42,$AA$48,$AA$54,$AA$60,$AA$66,$AA$72:$AA$79))*Parameters!$B$37/12</f>
        <v>3541.628226740511</v>
      </c>
      <c r="V81" s="46">
        <f>(SUM($AA$18:$AA$29)-SUM($AA$36,$AA$42,$AA$48,$AA$54,$AA$60,$AA$66,$AA$72:$AA$79))*Parameters!$B$37/12</f>
        <v>3541.628226740511</v>
      </c>
      <c r="W81" s="46">
        <f>(SUM($AA$18:$AA$29)-SUM($AA$36,$AA$42,$AA$48,$AA$54,$AA$60,$AA$66,$AA$72:$AA$79))*Parameters!$B$37/12</f>
        <v>3541.628226740511</v>
      </c>
      <c r="X81" s="46">
        <f>(SUM($AA$18:$AA$29)-SUM($AA$36,$AA$42,$AA$48,$AA$54,$AA$60,$AA$66,$AA$72:$AA$79))*Parameters!$B$37/12</f>
        <v>3541.628226740511</v>
      </c>
      <c r="Y81" s="46">
        <f>(SUM($AA$18:$AA$29)-SUM($AA$36,$AA$42,$AA$48,$AA$54,$AA$60,$AA$66,$AA$72:$AA$79))*Parameters!$B$37/12</f>
        <v>3541.628226740511</v>
      </c>
      <c r="Z81" s="46">
        <f>SUMIF($B$13:$Y$13,"Yes",B81:Y81)</f>
        <v>24791.39758718358</v>
      </c>
      <c r="AA81" s="46">
        <f>SUM(B81:M81)</f>
        <v>42499.53872088614</v>
      </c>
      <c r="AB81" s="46">
        <f>SUM(B81:Y81)</f>
        <v>84999.0774417723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77041.62822674052</v>
      </c>
      <c r="C88" s="19">
        <f>SUM(C72:C82,C66,C60,C54,C48,C42,C36)</f>
        <v>39541.62822674051</v>
      </c>
      <c r="D88" s="19">
        <f>SUM(D72:D82,D66,D60,D54,D48,D42,D36)</f>
        <v>54541.62822674051</v>
      </c>
      <c r="E88" s="19">
        <f>SUM(E72:E82,E66,E60,E54,E48,E42,E36)</f>
        <v>39541.62822674051</v>
      </c>
      <c r="F88" s="19">
        <f>SUM(F72:F82,F66,F60,F54,F48,F42,F36)</f>
        <v>39541.62822674051</v>
      </c>
      <c r="G88" s="19">
        <f>SUM(G72:G82,G66,G60,G54,G48,G42,G36)</f>
        <v>13541.62822674051</v>
      </c>
      <c r="H88" s="19">
        <f>SUM(H72:H82,H66,H60,H54,H48,H42,H36)</f>
        <v>52041.62822674051</v>
      </c>
      <c r="I88" s="19">
        <f>SUM(I72:I82,I66,I60,I54,I48,I42,I36)</f>
        <v>39541.62822674051</v>
      </c>
      <c r="J88" s="19">
        <f>SUM(J72:J82,J66,J60,J54,J48,J42,J36)</f>
        <v>54541.62822674051</v>
      </c>
      <c r="K88" s="19">
        <f>SUM(K72:K82,K66,K60,K54,K48,K42,K36)</f>
        <v>39541.62822674051</v>
      </c>
      <c r="L88" s="19">
        <f>SUM(L72:L82,L66,L60,L54,L48,L42,L36)</f>
        <v>39541.62822674051</v>
      </c>
      <c r="M88" s="19">
        <f>SUM(M72:M82,M66,M60,M54,M48,M42,M36)</f>
        <v>13541.62822674051</v>
      </c>
      <c r="N88" s="19">
        <f>SUM(N72:N82,N66,N60,N54,N48,N42,N36)</f>
        <v>77041.62822674052</v>
      </c>
      <c r="O88" s="19">
        <f>SUM(O72:O82,O66,O60,O54,O48,O42,O36)</f>
        <v>39541.62822674051</v>
      </c>
      <c r="P88" s="19">
        <f>SUM(P72:P82,P66,P60,P54,P48,P42,P36)</f>
        <v>54541.62822674051</v>
      </c>
      <c r="Q88" s="19">
        <f>SUM(Q72:Q82,Q66,Q60,Q54,Q48,Q42,Q36)</f>
        <v>39541.62822674051</v>
      </c>
      <c r="R88" s="19">
        <f>SUM(R72:R82,R66,R60,R54,R48,R42,R36)</f>
        <v>39541.62822674051</v>
      </c>
      <c r="S88" s="19">
        <f>SUM(S72:S82,S66,S60,S54,S48,S42,S36)</f>
        <v>13541.62822674051</v>
      </c>
      <c r="T88" s="19">
        <f>SUM(T72:T82,T66,T60,T54,T48,T42,T36)</f>
        <v>52041.62822674051</v>
      </c>
      <c r="U88" s="19">
        <f>SUM(U72:U82,U66,U60,U54,U48,U42,U36)</f>
        <v>39541.62822674051</v>
      </c>
      <c r="V88" s="19">
        <f>SUM(V72:V82,V66,V60,V54,V48,V42,V36)</f>
        <v>54541.62822674051</v>
      </c>
      <c r="W88" s="19">
        <f>SUM(W72:W82,W66,W60,W54,W48,W42,W36)</f>
        <v>39541.62822674051</v>
      </c>
      <c r="X88" s="19">
        <f>SUM(X72:X82,X66,X60,X54,X48,X42,X36)</f>
        <v>39541.62822674051</v>
      </c>
      <c r="Y88" s="19">
        <f>SUM(Y72:Y82,Y66,Y60,Y54,Y48,Y42,Y36)</f>
        <v>13541.62822674051</v>
      </c>
      <c r="Z88" s="19">
        <f>SUMIF($B$13:$Y$13,"Yes",B88:Y88)</f>
        <v>315791.3975871836</v>
      </c>
      <c r="AA88" s="19">
        <f>SUM(B88:M88)</f>
        <v>502499.5387208862</v>
      </c>
      <c r="AB88" s="19">
        <f>SUM(B88:Y88)</f>
        <v>1004999.077441772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1312000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10000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>
        <v>25000</v>
      </c>
    </row>
    <row r="42" spans="1:48">
      <c r="A42" s="55" t="s">
        <v>123</v>
      </c>
      <c r="B42" s="139" t="s">
        <v>94</v>
      </c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/>
    </row>
    <row r="46" spans="1:48" customHeight="1" ht="30">
      <c r="A46" s="57" t="s">
        <v>128</v>
      </c>
      <c r="B46" s="161">
        <v>350000</v>
      </c>
    </row>
    <row r="47" spans="1:48" customHeight="1" ht="30">
      <c r="A47" s="57" t="s">
        <v>129</v>
      </c>
      <c r="B47" s="161">
        <v>250000</v>
      </c>
    </row>
    <row r="48" spans="1:48" customHeight="1" ht="30">
      <c r="A48" s="57" t="s">
        <v>130</v>
      </c>
      <c r="B48" s="161">
        <v>650000</v>
      </c>
    </row>
    <row r="49" spans="1:48" customHeight="1" ht="30">
      <c r="A49" s="57" t="s">
        <v>131</v>
      </c>
      <c r="B49" s="161">
        <v>62000</v>
      </c>
    </row>
    <row r="50" spans="1:48">
      <c r="A50" s="43"/>
      <c r="B50" s="36"/>
    </row>
    <row r="51" spans="1:48">
      <c r="A51" s="58" t="s">
        <v>132</v>
      </c>
      <c r="B51" s="161">
        <v>6000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283241</v>
      </c>
      <c r="C66" s="163">
        <v>174521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122638</v>
      </c>
      <c r="C67" s="165">
        <v>85412</v>
      </c>
      <c r="D67" s="49">
        <f>INDEX(Parameters!$D$79:$D$90,MATCH(Inputs!A67,Parameters!$C$79:$C$90,0))</f>
        <v>8</v>
      </c>
    </row>
    <row r="68" spans="1:48">
      <c r="A68" s="143" t="s">
        <v>145</v>
      </c>
      <c r="B68" s="157">
        <v>720860</v>
      </c>
      <c r="C68" s="165">
        <v>252102</v>
      </c>
      <c r="D68" s="49">
        <f>INDEX(Parameters!$D$79:$D$90,MATCH(Inputs!A68,Parameters!$C$79:$C$90,0))</f>
        <v>9</v>
      </c>
    </row>
    <row r="69" spans="1:48">
      <c r="A69" s="143" t="s">
        <v>146</v>
      </c>
      <c r="B69" s="157">
        <v>221369</v>
      </c>
      <c r="C69" s="165">
        <v>158954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348855</v>
      </c>
      <c r="C70" s="165">
        <v>169852</v>
      </c>
      <c r="D70" s="49">
        <f>INDEX(Parameters!$D$79:$D$90,MATCH(Inputs!A70,Parameters!$C$79:$C$90,0))</f>
        <v>11</v>
      </c>
    </row>
    <row r="71" spans="1:48">
      <c r="A71" s="144" t="s">
        <v>148</v>
      </c>
      <c r="B71" s="158">
        <v>258852</v>
      </c>
      <c r="C71" s="167">
        <v>152322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6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146248.8468022153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43149</v>
      </c>
      <c r="C33" s="27">
        <f>IF(B33&lt;&gt;"",IF(COUNT($A$33:A33)&lt;=$G$39,0,$G$41)+IF(COUNT($A$33:A33)&lt;=$G$40,0,$G$42),0)</f>
        <v>2916.666666666667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43177</v>
      </c>
      <c r="C34" s="27">
        <f>IF(B34&lt;&gt;"",IF(COUNT($A$33:A34)&lt;=$G$39,0,$G$41)+IF(COUNT($A$33:A34)&lt;=$G$40,0,$G$42),0)</f>
        <v>2916.666666666667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43149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43208</v>
      </c>
      <c r="C35" s="27">
        <f>IF(B35&lt;&gt;"",IF(COUNT($A$33:A35)&lt;=$G$39,0,$G$41)+IF(COUNT($A$33:A35)&lt;=$G$40,0,$G$42),0)</f>
        <v>2916.666666666667</v>
      </c>
      <c r="D35" s="170">
        <f>IFERROR(DATE(YEAR(B35),MONTH(B35),1)," ")</f>
        <v>43191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43238</v>
      </c>
      <c r="C36" s="27">
        <f>IF(B36&lt;&gt;"",IF(COUNT($A$33:A36)&lt;=$G$39,0,$G$41)+IF(COUNT($A$33:A36)&lt;=$G$40,0,$G$42),0)</f>
        <v>2916.666666666667</v>
      </c>
      <c r="D36" s="170">
        <f>IFERROR(DATE(YEAR(B36),MONTH(B36),1)," ")</f>
        <v>43221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43269</v>
      </c>
      <c r="C37" s="27">
        <f>IF(B37&lt;&gt;"",IF(COUNT($A$33:A37)&lt;=$G$39,0,$G$41)+IF(COUNT($A$33:A37)&lt;=$G$40,0,$G$42),0)</f>
        <v>2916.666666666667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43299</v>
      </c>
      <c r="C38" s="27">
        <f>IF(B38&lt;&gt;"",IF(COUNT($A$33:A38)&lt;=$G$39,0,$G$41)+IF(COUNT($A$33:A38)&lt;=$G$40,0,$G$42),0)</f>
        <v>102916.6666666667</v>
      </c>
      <c r="D38" s="170">
        <f>IFERROR(DATE(YEAR(B38),MONTH(B38),1)," ")</f>
        <v>43282</v>
      </c>
      <c r="F38" t="s">
        <v>220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163</v>
      </c>
      <c r="G39" s="27">
        <f>IF(Inputs!B86="",0,Inputs!B86)</f>
        <v>5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221</v>
      </c>
      <c r="G41" s="73">
        <f>IFERROR(G35/(G38-G39),"")</f>
        <v>100000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222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121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121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121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121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121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121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121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121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121</v>
      </c>
      <c r="F77" s="12" t="s">
        <v>121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121</v>
      </c>
      <c r="AJ77" s="12"/>
    </row>
    <row r="78" spans="1:36">
      <c r="A78" t="s">
        <v>121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121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121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