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<sst xmlns="http://schemas.openxmlformats.org/spreadsheetml/2006/main" uniqueCount="364">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</sst>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0.4248121779491012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0.1030927835051546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22500</v>
      </c>
    </row>
    <row r="17" spans="1:7">
      <c r="B17" s="1" t="s">
        <v>11</v>
      </c>
      <c r="C17" s="36">
        <f>SUM(Output!B6:M6)</f>
        <v>373350</v>
      </c>
    </row>
    <row r="18" spans="1:7">
      <c r="B18" s="1" t="s">
        <v>12</v>
      </c>
      <c r="C18" s="36">
        <f>MIN(Output!B6:M6)</f>
        <v>31112.5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31112.5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31112.5</v>
      </c>
      <c r="C6" s="51">
        <f>C30-C88</f>
        <v>31112.5</v>
      </c>
      <c r="D6" s="51">
        <f>D30-D88</f>
        <v>31112.5</v>
      </c>
      <c r="E6" s="51">
        <f>E30-E88</f>
        <v>31112.5</v>
      </c>
      <c r="F6" s="51">
        <f>F30-F88</f>
        <v>31112.5</v>
      </c>
      <c r="G6" s="51">
        <f>G30-G88</f>
        <v>31112.5</v>
      </c>
      <c r="H6" s="51">
        <f>H30-H88</f>
        <v>31112.5</v>
      </c>
      <c r="I6" s="51">
        <f>I30-I88</f>
        <v>31112.5</v>
      </c>
      <c r="J6" s="51">
        <f>J30-J88</f>
        <v>31112.5</v>
      </c>
      <c r="K6" s="51">
        <f>K30-K88</f>
        <v>31112.5</v>
      </c>
      <c r="L6" s="51">
        <f>L30-L88</f>
        <v>31112.5</v>
      </c>
      <c r="M6" s="51">
        <f>M30-M88</f>
        <v>31112.5</v>
      </c>
      <c r="N6" s="51">
        <f>N30-N88</f>
        <v>31112.5</v>
      </c>
      <c r="O6" s="51">
        <f>O30-O88</f>
        <v>31112.5</v>
      </c>
      <c r="P6" s="51">
        <f>P30-P88</f>
        <v>31112.5</v>
      </c>
      <c r="Q6" s="51">
        <f>Q30-Q88</f>
        <v>31112.5</v>
      </c>
      <c r="R6" s="51">
        <f>R30-R88</f>
        <v>31112.5</v>
      </c>
      <c r="S6" s="51">
        <f>S30-S88</f>
        <v>31112.5</v>
      </c>
      <c r="T6" s="51">
        <f>T30-T88</f>
        <v>31112.5</v>
      </c>
      <c r="U6" s="51">
        <f>U30-U88</f>
        <v>31112.5</v>
      </c>
      <c r="V6" s="51">
        <f>V30-V88</f>
        <v>31112.5</v>
      </c>
      <c r="W6" s="51">
        <f>W30-W88</f>
        <v>31112.5</v>
      </c>
      <c r="X6" s="51">
        <f>X30-X88</f>
        <v>31112.5</v>
      </c>
      <c r="Y6" s="51">
        <f>Y30-Y88</f>
        <v>31112.5</v>
      </c>
      <c r="Z6" s="51">
        <f>SUMIF($B$13:$Y$13,"Yes",B6:Y6)</f>
        <v>435575</v>
      </c>
      <c r="AA6" s="51">
        <f>AA30-AA88</f>
        <v>373350</v>
      </c>
      <c r="AB6" s="51">
        <f>AB30-AB88</f>
        <v>746700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23590</v>
      </c>
      <c r="I7" s="80">
        <f>IF(ISERROR(VLOOKUP(MONTH(I5),Inputs!$D$66:$D$71,1,0)),"",INDEX(Inputs!$B$66:$B$71,MATCH(MONTH(Output!I5),Inputs!$D$66:$D$71,0))-INDEX(Inputs!$C$66:$C$71,MATCH(MONTH(Output!I5),Inputs!$D$66:$D$71,0)))</f>
        <v>10801</v>
      </c>
      <c r="J7" s="80">
        <f>IF(ISERROR(VLOOKUP(MONTH(J5),Inputs!$D$66:$D$71,1,0)),"",INDEX(Inputs!$B$66:$B$71,MATCH(MONTH(Output!J5),Inputs!$D$66:$D$71,0))-INDEX(Inputs!$C$66:$C$71,MATCH(MONTH(Output!J5),Inputs!$D$66:$D$71,0)))</f>
        <v>8513</v>
      </c>
      <c r="K7" s="80">
        <f>IF(ISERROR(VLOOKUP(MONTH(K5),Inputs!$D$66:$D$71,1,0)),"",INDEX(Inputs!$B$66:$B$71,MATCH(MONTH(Output!K5),Inputs!$D$66:$D$71,0))-INDEX(Inputs!$C$66:$C$71,MATCH(MONTH(Output!K5),Inputs!$D$66:$D$71,0)))</f>
        <v>3437</v>
      </c>
      <c r="L7" s="80">
        <f>IF(ISERROR(VLOOKUP(MONTH(L5),Inputs!$D$66:$D$71,1,0)),"",INDEX(Inputs!$B$66:$B$71,MATCH(MONTH(Output!L5),Inputs!$D$66:$D$71,0))-INDEX(Inputs!$C$66:$C$71,MATCH(MONTH(Output!L5),Inputs!$D$66:$D$71,0)))</f>
        <v>1404</v>
      </c>
      <c r="M7" s="80">
        <f>IF(ISERROR(VLOOKUP(MONTH(M5),Inputs!$D$66:$D$71,1,0)),"",INDEX(Inputs!$B$66:$B$71,MATCH(MONTH(Output!M5),Inputs!$D$66:$D$71,0))-INDEX(Inputs!$C$66:$C$71,MATCH(MONTH(Output!M5),Inputs!$D$66:$D$71,0)))</f>
        <v>16006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23590</v>
      </c>
      <c r="U7" s="80">
        <f>IF(ISERROR(VLOOKUP(MONTH(U5),Inputs!$D$66:$D$71,1,0)),"",INDEX(Inputs!$B$66:$B$71,MATCH(MONTH(Output!U5),Inputs!$D$66:$D$71,0))-INDEX(Inputs!$C$66:$C$71,MATCH(MONTH(Output!U5),Inputs!$D$66:$D$71,0)))</f>
        <v>10801</v>
      </c>
      <c r="V7" s="80">
        <f>IF(ISERROR(VLOOKUP(MONTH(V5),Inputs!$D$66:$D$71,1,0)),"",INDEX(Inputs!$B$66:$B$71,MATCH(MONTH(Output!V5),Inputs!$D$66:$D$71,0))-INDEX(Inputs!$C$66:$C$71,MATCH(MONTH(Output!V5),Inputs!$D$66:$D$71,0)))</f>
        <v>8513</v>
      </c>
      <c r="W7" s="80">
        <f>IF(ISERROR(VLOOKUP(MONTH(W5),Inputs!$D$66:$D$71,1,0)),"",INDEX(Inputs!$B$66:$B$71,MATCH(MONTH(Output!W5),Inputs!$D$66:$D$71,0))-INDEX(Inputs!$C$66:$C$71,MATCH(MONTH(Output!W5),Inputs!$D$66:$D$71,0)))</f>
        <v>3437</v>
      </c>
      <c r="X7" s="80">
        <f>IF(ISERROR(VLOOKUP(MONTH(X5),Inputs!$D$66:$D$71,1,0)),"",INDEX(Inputs!$B$66:$B$71,MATCH(MONTH(Output!X5),Inputs!$D$66:$D$71,0))-INDEX(Inputs!$C$66:$C$71,MATCH(MONTH(Output!X5),Inputs!$D$66:$D$71,0)))</f>
        <v>1404</v>
      </c>
      <c r="Y7" s="80">
        <f>IF(ISERROR(VLOOKUP(MONTH(Y5),Inputs!$D$66:$D$71,1,0)),"",INDEX(Inputs!$B$66:$B$71,MATCH(MONTH(Output!Y5),Inputs!$D$66:$D$71,0))-INDEX(Inputs!$C$66:$C$71,MATCH(MONTH(Output!Y5),Inputs!$D$66:$D$71,0)))</f>
        <v>16006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22500</v>
      </c>
      <c r="E10" s="37">
        <f>SUMPRODUCT((Calculations!$D$33:$D$84=Output!E5)+0,Calculations!$C$33:$C$84)</f>
        <v>22500</v>
      </c>
      <c r="F10" s="37">
        <f>SUMPRODUCT((Calculations!$D$33:$D$84=Output!F5)+0,Calculations!$C$33:$C$84)</f>
        <v>22500</v>
      </c>
      <c r="G10" s="37">
        <f>SUMPRODUCT((Calculations!$D$33:$D$84=Output!G5)+0,Calculations!$C$33:$C$84)</f>
        <v>22500</v>
      </c>
      <c r="H10" s="37">
        <f>SUMPRODUCT((Calculations!$D$33:$D$84=Output!H5)+0,Calculations!$C$33:$C$84)</f>
        <v>22500</v>
      </c>
      <c r="I10" s="37">
        <f>SUMPRODUCT((Calculations!$D$33:$D$84=Output!I5)+0,Calculations!$C$33:$C$84)</f>
        <v>22500</v>
      </c>
      <c r="J10" s="37">
        <f>SUMPRODUCT((Calculations!$D$33:$D$84=Output!J5)+0,Calculations!$C$33:$C$84)</f>
        <v>22500</v>
      </c>
      <c r="K10" s="37">
        <f>SUMPRODUCT((Calculations!$D$33:$D$84=Output!K5)+0,Calculations!$C$33:$C$84)</f>
        <v>22500</v>
      </c>
      <c r="L10" s="37">
        <f>SUMPRODUCT((Calculations!$D$33:$D$84=Output!L5)+0,Calculations!$C$33:$C$84)</f>
        <v>22500</v>
      </c>
      <c r="M10" s="37">
        <f>SUMPRODUCT((Calculations!$D$33:$D$84=Output!M5)+0,Calculations!$C$33:$C$84)</f>
        <v>22500</v>
      </c>
      <c r="N10" s="37">
        <f>SUMPRODUCT((Calculations!$D$33:$D$84=Output!N5)+0,Calculations!$C$33:$C$84)</f>
        <v>22500</v>
      </c>
      <c r="O10" s="37">
        <f>SUMPRODUCT((Calculations!$D$33:$D$84=Output!O5)+0,Calculations!$C$33:$C$84)</f>
        <v>22500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270000</v>
      </c>
      <c r="AA10" s="37">
        <f>SUM(B10:M10)</f>
        <v>225000</v>
      </c>
      <c r="AB10" s="37">
        <f>SUM(B10:Y10)</f>
        <v>270000</v>
      </c>
    </row>
    <row r="11" spans="1:30" customHeight="1" ht="15.75">
      <c r="A11" s="43" t="s">
        <v>31</v>
      </c>
      <c r="B11" s="80">
        <f>B6+B9-B10</f>
        <v>231112.5</v>
      </c>
      <c r="C11" s="80">
        <f>C6+C9-C10</f>
        <v>31112.5</v>
      </c>
      <c r="D11" s="80">
        <f>D6+D9-D10</f>
        <v>8612.5</v>
      </c>
      <c r="E11" s="80">
        <f>E6+E9-E10</f>
        <v>8612.5</v>
      </c>
      <c r="F11" s="80">
        <f>F6+F9-F10</f>
        <v>8612.5</v>
      </c>
      <c r="G11" s="80">
        <f>G6+G9-G10</f>
        <v>8612.5</v>
      </c>
      <c r="H11" s="80">
        <f>H6+H9-H10</f>
        <v>8612.5</v>
      </c>
      <c r="I11" s="80">
        <f>I6+I9-I10</f>
        <v>8612.5</v>
      </c>
      <c r="J11" s="80">
        <f>J6+J9-J10</f>
        <v>8612.5</v>
      </c>
      <c r="K11" s="80">
        <f>K6+K9-K10</f>
        <v>8612.5</v>
      </c>
      <c r="L11" s="80">
        <f>L6+L9-L10</f>
        <v>8612.5</v>
      </c>
      <c r="M11" s="80">
        <f>M6+M9-M10</f>
        <v>8612.5</v>
      </c>
      <c r="N11" s="80">
        <f>N6+N9-N10</f>
        <v>8612.5</v>
      </c>
      <c r="O11" s="80">
        <f>O6+O9-O10</f>
        <v>8612.5</v>
      </c>
      <c r="P11" s="80">
        <f>P6+P9-P10</f>
        <v>31112.5</v>
      </c>
      <c r="Q11" s="80">
        <f>Q6+Q9-Q10</f>
        <v>31112.5</v>
      </c>
      <c r="R11" s="80">
        <f>R6+R9-R10</f>
        <v>31112.5</v>
      </c>
      <c r="S11" s="80">
        <f>S6+S9-S10</f>
        <v>31112.5</v>
      </c>
      <c r="T11" s="80">
        <f>T6+T9-T10</f>
        <v>31112.5</v>
      </c>
      <c r="U11" s="80">
        <f>U6+U9-U10</f>
        <v>31112.5</v>
      </c>
      <c r="V11" s="80">
        <f>V6+V9-V10</f>
        <v>31112.5</v>
      </c>
      <c r="W11" s="80">
        <f>W6+W9-W10</f>
        <v>31112.5</v>
      </c>
      <c r="X11" s="80">
        <f>X6+X9-X10</f>
        <v>31112.5</v>
      </c>
      <c r="Y11" s="80">
        <f>Y6+Y9-Y10</f>
        <v>31112.5</v>
      </c>
      <c r="Z11" s="85">
        <f>SUMIF($B$13:$Y$13,"Yes",B11:Y11)</f>
        <v>365575</v>
      </c>
      <c r="AA11" s="80">
        <f>SUM(B11:M11)</f>
        <v>348350</v>
      </c>
      <c r="AB11" s="46">
        <f>SUM(B11:Y11)</f>
        <v>676700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0.07670345591681936</v>
      </c>
      <c r="E12" s="82">
        <f>IF(E13="Yes",IF(SUM($B$10:E10)/(SUM($B$6:E6)+SUM($B$9:E9))&lt;0,999.99,SUM($B$10:E10)/(SUM($B$6:E6)+SUM($B$9:E9))),"")</f>
        <v>0.1386962552011096</v>
      </c>
      <c r="F12" s="82">
        <f>IF(F13="Yes",IF(SUM($B$10:F10)/(SUM($B$6:F6)+SUM($B$9:F9))&lt;0,999.99,SUM($B$10:F10)/(SUM($B$6:F6)+SUM($B$9:F9))),"")</f>
        <v>0.1898400421866761</v>
      </c>
      <c r="G12" s="82">
        <f>IF(G13="Yes",IF(SUM($B$10:G10)/(SUM($B$6:G6)+SUM($B$9:G9))&lt;0,999.99,SUM($B$10:G10)/(SUM($B$6:G6)+SUM($B$9:G9))),"")</f>
        <v>0.23275360444818</v>
      </c>
      <c r="H12" s="82">
        <f>IF(H13="Yes",IF(SUM($B$10:H10)/(SUM($B$6:H6)+SUM($B$9:H9))&lt;0,999.99,SUM($B$10:H10)/(SUM($B$6:H6)+SUM($B$9:H9))),"")</f>
        <v>0.2692756485055202</v>
      </c>
      <c r="I12" s="82">
        <f>IF(I13="Yes",IF(SUM($B$10:I10)/(SUM($B$6:I6)+SUM($B$9:I9))&lt;0,999.99,SUM($B$10:I10)/(SUM($B$6:I6)+SUM($B$9:I9))),"")</f>
        <v>0.3007351303185565</v>
      </c>
      <c r="J12" s="82">
        <f>IF(J13="Yes",IF(SUM($B$10:J10)/(SUM($B$6:J6)+SUM($B$9:J9))&lt;0,999.99,SUM($B$10:J10)/(SUM($B$6:J6)+SUM($B$9:J9))),"")</f>
        <v>0.3281164553006432</v>
      </c>
      <c r="K12" s="82">
        <f>IF(K13="Yes",IF(SUM($B$10:K10)/(SUM($B$6:K6)+SUM($B$9:K9))&lt;0,999.99,SUM($B$10:K10)/(SUM($B$6:K6)+SUM($B$9:K9))),"")</f>
        <v>0.3521643433602348</v>
      </c>
      <c r="L12" s="82">
        <f>IF(L13="Yes",IF(SUM($B$10:L10)/(SUM($B$6:L6)+SUM($B$9:L9))&lt;0,999.99,SUM($B$10:L10)/(SUM($B$6:L6)+SUM($B$9:L9))),"")</f>
        <v>0.3734525922681482</v>
      </c>
      <c r="M12" s="82">
        <f>IF(M13="Yes",IF(SUM($B$10:M10)/(SUM($B$6:M6)+SUM($B$9:M9))&lt;0,999.99,SUM($B$10:M10)/(SUM($B$6:M6)+SUM($B$9:M9))),"")</f>
        <v>0.392430452603122</v>
      </c>
      <c r="N12" s="82">
        <f>IF(N13="Yes",IF(SUM($B$10:N10)/(SUM($B$6:N6)+SUM($B$9:N9))&lt;0,999.99,SUM($B$10:N10)/(SUM($B$6:N6)+SUM($B$9:N9))),"")</f>
        <v>0.4094546808114647</v>
      </c>
      <c r="O12" s="82">
        <f>IF(O13="Yes",IF(SUM($B$10:O10)/(SUM($B$6:O6)+SUM($B$9:O9))&lt;0,999.99,SUM($B$10:O10)/(SUM($B$6:O6)+SUM($B$9:O9))),"")</f>
        <v>0.4248121779491012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574875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61062.5</v>
      </c>
      <c r="C30" s="19">
        <f>SUM(C18:C29)</f>
        <v>61062.5</v>
      </c>
      <c r="D30" s="19">
        <f>SUM(D18:D29)</f>
        <v>61062.5</v>
      </c>
      <c r="E30" s="19">
        <f>SUM(E18:E29)</f>
        <v>61062.5</v>
      </c>
      <c r="F30" s="19">
        <f>SUM(F18:F29)</f>
        <v>61062.5</v>
      </c>
      <c r="G30" s="19">
        <f>SUM(G18:G29)</f>
        <v>61062.5</v>
      </c>
      <c r="H30" s="19">
        <f>SUM(H18:H29)</f>
        <v>61062.5</v>
      </c>
      <c r="I30" s="19">
        <f>SUM(I18:I29)</f>
        <v>61062.5</v>
      </c>
      <c r="J30" s="19">
        <f>SUM(J18:J29)</f>
        <v>61062.5</v>
      </c>
      <c r="K30" s="19">
        <f>SUM(K18:K29)</f>
        <v>61062.5</v>
      </c>
      <c r="L30" s="19">
        <f>SUM(L18:L29)</f>
        <v>61062.5</v>
      </c>
      <c r="M30" s="19">
        <f>SUM(M18:M29)</f>
        <v>61062.5</v>
      </c>
      <c r="N30" s="19">
        <f>SUM(N18:N29)</f>
        <v>61062.5</v>
      </c>
      <c r="O30" s="19">
        <f>SUM(O18:O29)</f>
        <v>61062.5</v>
      </c>
      <c r="P30" s="19">
        <f>SUM(P18:P29)</f>
        <v>61062.5</v>
      </c>
      <c r="Q30" s="19">
        <f>SUM(Q18:Q29)</f>
        <v>61062.5</v>
      </c>
      <c r="R30" s="19">
        <f>SUM(R18:R29)</f>
        <v>61062.5</v>
      </c>
      <c r="S30" s="19">
        <f>SUM(S18:S29)</f>
        <v>61062.5</v>
      </c>
      <c r="T30" s="19">
        <f>SUM(T18:T29)</f>
        <v>61062.5</v>
      </c>
      <c r="U30" s="19">
        <f>SUM(U18:U29)</f>
        <v>61062.5</v>
      </c>
      <c r="V30" s="19">
        <f>SUM(V18:V29)</f>
        <v>61062.5</v>
      </c>
      <c r="W30" s="19">
        <f>SUM(W18:W29)</f>
        <v>61062.5</v>
      </c>
      <c r="X30" s="19">
        <f>SUM(X18:X29)</f>
        <v>61062.5</v>
      </c>
      <c r="Y30" s="19">
        <f>SUM(Y18:Y29)</f>
        <v>61062.5</v>
      </c>
      <c r="Z30" s="19">
        <f>SUMIF($B$13:$Y$13,"Yes",B30:Y30)</f>
        <v>854875</v>
      </c>
      <c r="AA30" s="19">
        <f>SUM(B30:M30)</f>
        <v>732750</v>
      </c>
      <c r="AB30" s="19">
        <f>SUM(B30:Y30)</f>
        <v>1465500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42583.33333333333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2333.333333333333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14000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20741.66666666667</v>
      </c>
      <c r="C81" s="46">
        <f>(SUM($AA$18:$AA$29)-SUM($AA$36,$AA$42,$AA$48,$AA$54,$AA$60,$AA$66,$AA$72:$AA$79))*Parameters!$B$37/12</f>
        <v>20741.66666666667</v>
      </c>
      <c r="D81" s="46">
        <f>(SUM($AA$18:$AA$29)-SUM($AA$36,$AA$42,$AA$48,$AA$54,$AA$60,$AA$66,$AA$72:$AA$79))*Parameters!$B$37/12</f>
        <v>20741.66666666667</v>
      </c>
      <c r="E81" s="46">
        <f>(SUM($AA$18:$AA$29)-SUM($AA$36,$AA$42,$AA$48,$AA$54,$AA$60,$AA$66,$AA$72:$AA$79))*Parameters!$B$37/12</f>
        <v>20741.66666666667</v>
      </c>
      <c r="F81" s="46">
        <f>(SUM($AA$18:$AA$29)-SUM($AA$36,$AA$42,$AA$48,$AA$54,$AA$60,$AA$66,$AA$72:$AA$79))*Parameters!$B$37/12</f>
        <v>20741.66666666667</v>
      </c>
      <c r="G81" s="46">
        <f>(SUM($AA$18:$AA$29)-SUM($AA$36,$AA$42,$AA$48,$AA$54,$AA$60,$AA$66,$AA$72:$AA$79))*Parameters!$B$37/12</f>
        <v>20741.66666666667</v>
      </c>
      <c r="H81" s="46">
        <f>(SUM($AA$18:$AA$29)-SUM($AA$36,$AA$42,$AA$48,$AA$54,$AA$60,$AA$66,$AA$72:$AA$79))*Parameters!$B$37/12</f>
        <v>20741.66666666667</v>
      </c>
      <c r="I81" s="46">
        <f>(SUM($AA$18:$AA$29)-SUM($AA$36,$AA$42,$AA$48,$AA$54,$AA$60,$AA$66,$AA$72:$AA$79))*Parameters!$B$37/12</f>
        <v>20741.66666666667</v>
      </c>
      <c r="J81" s="46">
        <f>(SUM($AA$18:$AA$29)-SUM($AA$36,$AA$42,$AA$48,$AA$54,$AA$60,$AA$66,$AA$72:$AA$79))*Parameters!$B$37/12</f>
        <v>20741.66666666667</v>
      </c>
      <c r="K81" s="46">
        <f>(SUM($AA$18:$AA$29)-SUM($AA$36,$AA$42,$AA$48,$AA$54,$AA$60,$AA$66,$AA$72:$AA$79))*Parameters!$B$37/12</f>
        <v>20741.66666666667</v>
      </c>
      <c r="L81" s="46">
        <f>(SUM($AA$18:$AA$29)-SUM($AA$36,$AA$42,$AA$48,$AA$54,$AA$60,$AA$66,$AA$72:$AA$79))*Parameters!$B$37/12</f>
        <v>20741.66666666667</v>
      </c>
      <c r="M81" s="46">
        <f>(SUM($AA$18:$AA$29)-SUM($AA$36,$AA$42,$AA$48,$AA$54,$AA$60,$AA$66,$AA$72:$AA$79))*Parameters!$B$37/12</f>
        <v>20741.66666666667</v>
      </c>
      <c r="N81" s="46">
        <f>(SUM($AA$18:$AA$29)-SUM($AA$36,$AA$42,$AA$48,$AA$54,$AA$60,$AA$66,$AA$72:$AA$79))*Parameters!$B$37/12</f>
        <v>20741.66666666667</v>
      </c>
      <c r="O81" s="46">
        <f>(SUM($AA$18:$AA$29)-SUM($AA$36,$AA$42,$AA$48,$AA$54,$AA$60,$AA$66,$AA$72:$AA$79))*Parameters!$B$37/12</f>
        <v>20741.66666666667</v>
      </c>
      <c r="P81" s="46">
        <f>(SUM($AA$18:$AA$29)-SUM($AA$36,$AA$42,$AA$48,$AA$54,$AA$60,$AA$66,$AA$72:$AA$79))*Parameters!$B$37/12</f>
        <v>20741.66666666667</v>
      </c>
      <c r="Q81" s="46">
        <f>(SUM($AA$18:$AA$29)-SUM($AA$36,$AA$42,$AA$48,$AA$54,$AA$60,$AA$66,$AA$72:$AA$79))*Parameters!$B$37/12</f>
        <v>20741.66666666667</v>
      </c>
      <c r="R81" s="46">
        <f>(SUM($AA$18:$AA$29)-SUM($AA$36,$AA$42,$AA$48,$AA$54,$AA$60,$AA$66,$AA$72:$AA$79))*Parameters!$B$37/12</f>
        <v>20741.66666666667</v>
      </c>
      <c r="S81" s="46">
        <f>(SUM($AA$18:$AA$29)-SUM($AA$36,$AA$42,$AA$48,$AA$54,$AA$60,$AA$66,$AA$72:$AA$79))*Parameters!$B$37/12</f>
        <v>20741.66666666667</v>
      </c>
      <c r="T81" s="46">
        <f>(SUM($AA$18:$AA$29)-SUM($AA$36,$AA$42,$AA$48,$AA$54,$AA$60,$AA$66,$AA$72:$AA$79))*Parameters!$B$37/12</f>
        <v>20741.66666666667</v>
      </c>
      <c r="U81" s="46">
        <f>(SUM($AA$18:$AA$29)-SUM($AA$36,$AA$42,$AA$48,$AA$54,$AA$60,$AA$66,$AA$72:$AA$79))*Parameters!$B$37/12</f>
        <v>20741.66666666667</v>
      </c>
      <c r="V81" s="46">
        <f>(SUM($AA$18:$AA$29)-SUM($AA$36,$AA$42,$AA$48,$AA$54,$AA$60,$AA$66,$AA$72:$AA$79))*Parameters!$B$37/12</f>
        <v>20741.66666666667</v>
      </c>
      <c r="W81" s="46">
        <f>(SUM($AA$18:$AA$29)-SUM($AA$36,$AA$42,$AA$48,$AA$54,$AA$60,$AA$66,$AA$72:$AA$79))*Parameters!$B$37/12</f>
        <v>20741.66666666667</v>
      </c>
      <c r="X81" s="46">
        <f>(SUM($AA$18:$AA$29)-SUM($AA$36,$AA$42,$AA$48,$AA$54,$AA$60,$AA$66,$AA$72:$AA$79))*Parameters!$B$37/12</f>
        <v>20741.66666666667</v>
      </c>
      <c r="Y81" s="46">
        <f>(SUM($AA$18:$AA$29)-SUM($AA$36,$AA$42,$AA$48,$AA$54,$AA$60,$AA$66,$AA$72:$AA$79))*Parameters!$B$37/12</f>
        <v>20741.66666666667</v>
      </c>
      <c r="Z81" s="46">
        <f>SUMIF($B$13:$Y$13,"Yes",B81:Y81)</f>
        <v>290383.3333333333</v>
      </c>
      <c r="AA81" s="46">
        <f>SUM(B81:M81)</f>
        <v>248900</v>
      </c>
      <c r="AB81" s="46">
        <f>SUM(B81:Y81)</f>
        <v>497800.0000000002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29950</v>
      </c>
      <c r="C88" s="19">
        <f>SUM(C72:C82,C66,C60,C54,C48,C42,C36)</f>
        <v>29950</v>
      </c>
      <c r="D88" s="19">
        <f>SUM(D72:D82,D66,D60,D54,D48,D42,D36)</f>
        <v>29950</v>
      </c>
      <c r="E88" s="19">
        <f>SUM(E72:E82,E66,E60,E54,E48,E42,E36)</f>
        <v>29950</v>
      </c>
      <c r="F88" s="19">
        <f>SUM(F72:F82,F66,F60,F54,F48,F42,F36)</f>
        <v>29950</v>
      </c>
      <c r="G88" s="19">
        <f>SUM(G72:G82,G66,G60,G54,G48,G42,G36)</f>
        <v>29950</v>
      </c>
      <c r="H88" s="19">
        <f>SUM(H72:H82,H66,H60,H54,H48,H42,H36)</f>
        <v>29950</v>
      </c>
      <c r="I88" s="19">
        <f>SUM(I72:I82,I66,I60,I54,I48,I42,I36)</f>
        <v>29950</v>
      </c>
      <c r="J88" s="19">
        <f>SUM(J72:J82,J66,J60,J54,J48,J42,J36)</f>
        <v>29950</v>
      </c>
      <c r="K88" s="19">
        <f>SUM(K72:K82,K66,K60,K54,K48,K42,K36)</f>
        <v>29950</v>
      </c>
      <c r="L88" s="19">
        <f>SUM(L72:L82,L66,L60,L54,L48,L42,L36)</f>
        <v>29950</v>
      </c>
      <c r="M88" s="19">
        <f>SUM(M72:M82,M66,M60,M54,M48,M42,M36)</f>
        <v>29950</v>
      </c>
      <c r="N88" s="19">
        <f>SUM(N72:N82,N66,N60,N54,N48,N42,N36)</f>
        <v>29950</v>
      </c>
      <c r="O88" s="19">
        <f>SUM(O72:O82,O66,O60,O54,O48,O42,O36)</f>
        <v>29950</v>
      </c>
      <c r="P88" s="19">
        <f>SUM(P72:P82,P66,P60,P54,P48,P42,P36)</f>
        <v>29950</v>
      </c>
      <c r="Q88" s="19">
        <f>SUM(Q72:Q82,Q66,Q60,Q54,Q48,Q42,Q36)</f>
        <v>29950</v>
      </c>
      <c r="R88" s="19">
        <f>SUM(R72:R82,R66,R60,R54,R48,R42,R36)</f>
        <v>29950</v>
      </c>
      <c r="S88" s="19">
        <f>SUM(S72:S82,S66,S60,S54,S48,S42,S36)</f>
        <v>29950</v>
      </c>
      <c r="T88" s="19">
        <f>SUM(T72:T82,T66,T60,T54,T48,T42,T36)</f>
        <v>29950</v>
      </c>
      <c r="U88" s="19">
        <f>SUM(U72:U82,U66,U60,U54,U48,U42,U36)</f>
        <v>29950</v>
      </c>
      <c r="V88" s="19">
        <f>SUM(V72:V82,V66,V60,V54,V48,V42,V36)</f>
        <v>29950</v>
      </c>
      <c r="W88" s="19">
        <f>SUM(W72:W82,W66,W60,W54,W48,W42,W36)</f>
        <v>29950</v>
      </c>
      <c r="X88" s="19">
        <f>SUM(X72:X82,X66,X60,X54,X48,X42,X36)</f>
        <v>29950</v>
      </c>
      <c r="Y88" s="19">
        <f>SUM(Y72:Y82,Y66,Y60,Y54,Y48,Y42,Y36)</f>
        <v>29950</v>
      </c>
      <c r="Z88" s="19">
        <f>SUMIF($B$13:$Y$13,"Yes",B88:Y88)</f>
        <v>419300</v>
      </c>
      <c r="AA88" s="19">
        <f>SUM(B88:M88)</f>
        <v>359400</v>
      </c>
      <c r="AB88" s="19">
        <f>SUM(B88:Y88)</f>
        <v>718800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20000</v>
      </c>
    </row>
    <row r="31" spans="1:48">
      <c r="A31" s="5" t="s">
        <v>110</v>
      </c>
      <c r="B31" s="158">
        <v>5000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1200000</v>
      </c>
    </row>
    <row r="46" spans="1:48" customHeight="1" ht="30">
      <c r="A46" s="57" t="s">
        <v>124</v>
      </c>
      <c r="B46" s="161">
        <v>200000</v>
      </c>
    </row>
    <row r="47" spans="1:48" customHeight="1" ht="30">
      <c r="A47" s="57" t="s">
        <v>125</v>
      </c>
      <c r="B47" s="161">
        <v>100000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40000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303587</v>
      </c>
      <c r="C66" s="163">
        <v>279997</v>
      </c>
      <c r="D66" s="49">
        <f>INDEX(Parameters!$D$79:$D$90,MATCH(Inputs!A66,Parameters!$C$79:$C$90,0))</f>
        <v>7</v>
      </c>
    </row>
    <row r="67" spans="1:48">
      <c r="A67" s="143" t="s">
        <v>140</v>
      </c>
      <c r="B67" s="157">
        <v>229085</v>
      </c>
      <c r="C67" s="165">
        <v>218284</v>
      </c>
      <c r="D67" s="49">
        <f>INDEX(Parameters!$D$79:$D$90,MATCH(Inputs!A67,Parameters!$C$79:$C$90,0))</f>
        <v>8</v>
      </c>
    </row>
    <row r="68" spans="1:48">
      <c r="A68" s="143" t="s">
        <v>141</v>
      </c>
      <c r="B68" s="157">
        <v>79330</v>
      </c>
      <c r="C68" s="165">
        <v>70817</v>
      </c>
      <c r="D68" s="49">
        <f>INDEX(Parameters!$D$79:$D$90,MATCH(Inputs!A68,Parameters!$C$79:$C$90,0))</f>
        <v>9</v>
      </c>
    </row>
    <row r="69" spans="1:48">
      <c r="A69" s="143" t="s">
        <v>142</v>
      </c>
      <c r="B69" s="157">
        <v>125830</v>
      </c>
      <c r="C69" s="165">
        <v>122393</v>
      </c>
      <c r="D69" s="49">
        <f>INDEX(Parameters!$D$79:$D$90,MATCH(Inputs!A69,Parameters!$C$79:$C$90,0))</f>
        <v>10</v>
      </c>
    </row>
    <row r="70" spans="1:48">
      <c r="A70" s="143" t="s">
        <v>143</v>
      </c>
      <c r="B70" s="157">
        <v>46787</v>
      </c>
      <c r="C70" s="165">
        <v>45383</v>
      </c>
      <c r="D70" s="49">
        <f>INDEX(Parameters!$D$79:$D$90,MATCH(Inputs!A70,Parameters!$C$79:$C$90,0))</f>
        <v>11</v>
      </c>
    </row>
    <row r="71" spans="1:48">
      <c r="A71" s="144" t="s">
        <v>144</v>
      </c>
      <c r="B71" s="158">
        <v>156330</v>
      </c>
      <c r="C71" s="167">
        <v>140324</v>
      </c>
      <c r="D71" s="49">
        <f>INDEX(Parameters!$D$79:$D$90,MATCH(Inputs!A71,Parameters!$C$79:$C$90,0))</f>
        <v>12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26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200000</v>
      </c>
    </row>
    <row r="82" spans="1:48">
      <c r="A82" t="s">
        <v>154</v>
      </c>
      <c r="B82" s="161">
        <v>35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22500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22500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22500</v>
      </c>
      <c r="D35" s="170">
        <f>IFERROR(DATE(YEAR(B35),MONTH(B35),1)," ")</f>
        <v>43221</v>
      </c>
      <c r="F35" t="s">
        <v>153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22500</v>
      </c>
      <c r="D36" s="170">
        <f>IFERROR(DATE(YEAR(B36),MONTH(B36),1)," ")</f>
        <v>43252</v>
      </c>
      <c r="F36" t="s">
        <v>154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22500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22500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22500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22500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22500</v>
      </c>
      <c r="D41" s="170">
        <f>IFERROR(DATE(YEAR(B41),MONTH(B41),1)," ")</f>
        <v>43405</v>
      </c>
      <c r="F41" t="s">
        <v>217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22500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22500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22500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156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139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